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CCUEILBEA\Sauvegarde Générale\dossiers membres du bureau\Ewen\"/>
    </mc:Choice>
  </mc:AlternateContent>
  <bookViews>
    <workbookView xWindow="0" yWindow="0" windowWidth="14370" windowHeight="6285" tabRatio="989"/>
  </bookViews>
  <sheets>
    <sheet name="Période 1" sheetId="1" r:id="rId1"/>
    <sheet name="Période 2" sheetId="2" r:id="rId2"/>
    <sheet name="Période 3" sheetId="3" r:id="rId3"/>
    <sheet name="Période 4" sheetId="4" r:id="rId4"/>
    <sheet name="Période 5" sheetId="5" r:id="rId5"/>
    <sheet name="Gestion" sheetId="6" state="hidden" r:id="rId6"/>
  </sheets>
  <definedNames>
    <definedName name="AnnéeChoisie">Gestion!$B$2</definedName>
    <definedName name="Excel_BuiltIn_Print_Area" localSheetId="0">'Période 1'!$A$1:$S$33</definedName>
    <definedName name="Période_1">NA()</definedName>
    <definedName name="Période_2">NA()</definedName>
    <definedName name="_xlnm.Print_Area" localSheetId="0">'Période 1'!$A$1:$S$43</definedName>
    <definedName name="_xlnm.Print_Area" localSheetId="1">'Période 2'!$A$1:$S$44</definedName>
    <definedName name="_xlnm.Print_Area" localSheetId="2">'Période 3'!$A$1:$S$43</definedName>
    <definedName name="_xlnm.Print_Area" localSheetId="3">'Période 4'!$A$1:$S$43</definedName>
    <definedName name="_xlnm.Print_Area" localSheetId="4">'Période 5'!$A$1:$S$43</definedName>
    <definedName name="ZoneChoisie">Gestion!$B$1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8" i="3" l="1"/>
  <c r="Q8" i="1"/>
  <c r="B2" i="6"/>
  <c r="B5" i="6"/>
  <c r="A8" i="1"/>
  <c r="D8" i="1"/>
  <c r="G8" i="1"/>
  <c r="J8" i="1"/>
  <c r="M8" i="1"/>
  <c r="R9" i="1"/>
  <c r="S8" i="1"/>
  <c r="Q10" i="3"/>
  <c r="R11" i="3"/>
  <c r="S10" i="3"/>
  <c r="B10" i="6"/>
  <c r="A8" i="3"/>
  <c r="D8" i="3"/>
  <c r="G8" i="3"/>
  <c r="J8" i="3"/>
  <c r="M8" i="3"/>
  <c r="R9" i="3"/>
  <c r="S8" i="3"/>
  <c r="B9" i="6"/>
  <c r="K6" i="2"/>
  <c r="B7" i="6"/>
  <c r="B33" i="6"/>
  <c r="H6" i="1"/>
  <c r="B27" i="6"/>
  <c r="B26" i="6"/>
  <c r="B36" i="6"/>
  <c r="B35" i="6"/>
  <c r="B34" i="6"/>
  <c r="B38" i="6"/>
  <c r="B37" i="6"/>
  <c r="B32" i="6"/>
  <c r="B31" i="6"/>
  <c r="B30" i="6"/>
  <c r="B29" i="6"/>
  <c r="B28" i="6"/>
  <c r="B25" i="6"/>
  <c r="A22" i="6"/>
  <c r="A21" i="6"/>
  <c r="A20" i="6"/>
  <c r="B16" i="6"/>
  <c r="B1" i="6"/>
  <c r="B15" i="6"/>
  <c r="B14" i="6"/>
  <c r="B13" i="6"/>
  <c r="B12" i="6"/>
  <c r="B11" i="6"/>
  <c r="B8" i="6"/>
  <c r="B6" i="6"/>
  <c r="A41" i="5"/>
  <c r="Q10" i="1"/>
  <c r="R11" i="1"/>
  <c r="Q12" i="1"/>
  <c r="R13" i="1"/>
  <c r="Q14" i="1"/>
  <c r="R15" i="1"/>
  <c r="Q16" i="1"/>
  <c r="R17" i="1"/>
  <c r="A10" i="1"/>
  <c r="D10" i="1"/>
  <c r="G10" i="1"/>
  <c r="J10" i="1"/>
  <c r="M10" i="1"/>
  <c r="A12" i="1"/>
  <c r="D12" i="1"/>
  <c r="G12" i="1"/>
  <c r="J12" i="1"/>
  <c r="M12" i="1"/>
  <c r="A14" i="1"/>
  <c r="D14" i="1"/>
  <c r="G14" i="1"/>
  <c r="J14" i="1"/>
  <c r="M14" i="1"/>
  <c r="A16" i="1"/>
  <c r="D16" i="1"/>
  <c r="G16" i="1"/>
  <c r="J16" i="1"/>
  <c r="M16" i="1"/>
  <c r="K6" i="1"/>
  <c r="A18" i="1"/>
  <c r="D18" i="1"/>
  <c r="G18" i="1"/>
  <c r="J18" i="1"/>
  <c r="M18" i="1"/>
  <c r="Q18" i="1"/>
  <c r="R19" i="1"/>
  <c r="A20" i="1"/>
  <c r="D20" i="1"/>
  <c r="G20" i="1"/>
  <c r="J20" i="1"/>
  <c r="M20" i="1"/>
  <c r="Q20" i="1"/>
  <c r="R21" i="1"/>
  <c r="A22" i="1"/>
  <c r="D22" i="1"/>
  <c r="G22" i="1"/>
  <c r="J22" i="1"/>
  <c r="M22" i="1"/>
  <c r="Q22" i="1"/>
  <c r="R23" i="1"/>
  <c r="A24" i="1"/>
  <c r="D24" i="1"/>
  <c r="G24" i="1"/>
  <c r="J24" i="1"/>
  <c r="M24" i="1"/>
  <c r="Q24" i="1"/>
  <c r="R25" i="1"/>
  <c r="A26" i="1"/>
  <c r="D26" i="1"/>
  <c r="G26" i="1"/>
  <c r="J26" i="1"/>
  <c r="M26" i="1"/>
  <c r="Q26" i="1"/>
  <c r="R27" i="1"/>
  <c r="A28" i="1"/>
  <c r="D28" i="1"/>
  <c r="G28" i="1"/>
  <c r="J28" i="1"/>
  <c r="M28" i="1"/>
  <c r="Q28" i="1"/>
  <c r="R29" i="1"/>
  <c r="A30" i="1"/>
  <c r="D30" i="1"/>
  <c r="G30" i="1"/>
  <c r="J30" i="1"/>
  <c r="M30" i="1"/>
  <c r="Q30" i="1"/>
  <c r="R31" i="1"/>
  <c r="R33" i="1"/>
  <c r="R37" i="1"/>
  <c r="R40" i="1"/>
  <c r="Q8" i="2"/>
  <c r="A8" i="2"/>
  <c r="D8" i="2"/>
  <c r="G8" i="2"/>
  <c r="J8" i="2"/>
  <c r="M8" i="2"/>
  <c r="R9" i="2"/>
  <c r="Q10" i="2"/>
  <c r="R11" i="2"/>
  <c r="Q12" i="2"/>
  <c r="R13" i="2"/>
  <c r="Q14" i="2"/>
  <c r="R15" i="2"/>
  <c r="Q16" i="2"/>
  <c r="R17" i="2"/>
  <c r="A10" i="2"/>
  <c r="D10" i="2"/>
  <c r="G10" i="2"/>
  <c r="J10" i="2"/>
  <c r="M10" i="2"/>
  <c r="A12" i="2"/>
  <c r="D12" i="2"/>
  <c r="G12" i="2"/>
  <c r="J12" i="2"/>
  <c r="M12" i="2"/>
  <c r="A14" i="2"/>
  <c r="D14" i="2"/>
  <c r="G14" i="2"/>
  <c r="J14" i="2"/>
  <c r="M14" i="2"/>
  <c r="A16" i="2"/>
  <c r="D16" i="2"/>
  <c r="G16" i="2"/>
  <c r="J16" i="2"/>
  <c r="M16" i="2"/>
  <c r="A18" i="2"/>
  <c r="D18" i="2"/>
  <c r="G18" i="2"/>
  <c r="J18" i="2"/>
  <c r="M18" i="2"/>
  <c r="Q18" i="2"/>
  <c r="R19" i="2"/>
  <c r="A20" i="2"/>
  <c r="D20" i="2"/>
  <c r="G20" i="2"/>
  <c r="J20" i="2"/>
  <c r="M20" i="2"/>
  <c r="Q20" i="2"/>
  <c r="R21" i="2"/>
  <c r="A22" i="2"/>
  <c r="D22" i="2"/>
  <c r="G22" i="2"/>
  <c r="J22" i="2"/>
  <c r="M22" i="2"/>
  <c r="R23" i="2"/>
  <c r="A24" i="2"/>
  <c r="D24" i="2"/>
  <c r="G24" i="2"/>
  <c r="J24" i="2"/>
  <c r="M24" i="2"/>
  <c r="R25" i="2"/>
  <c r="A26" i="2"/>
  <c r="D26" i="2"/>
  <c r="G26" i="2"/>
  <c r="J26" i="2"/>
  <c r="M26" i="2"/>
  <c r="R27" i="2"/>
  <c r="A28" i="2"/>
  <c r="D28" i="2"/>
  <c r="G28" i="2"/>
  <c r="J28" i="2"/>
  <c r="M28" i="2"/>
  <c r="R29" i="2"/>
  <c r="A30" i="2"/>
  <c r="D30" i="2"/>
  <c r="G30" i="2"/>
  <c r="J30" i="2"/>
  <c r="M30" i="2"/>
  <c r="R31" i="2"/>
  <c r="R33" i="2"/>
  <c r="R35" i="2"/>
  <c r="R37" i="2"/>
  <c r="R40" i="2"/>
  <c r="Q12" i="3"/>
  <c r="R13" i="3"/>
  <c r="Q14" i="3"/>
  <c r="R15" i="3"/>
  <c r="Q16" i="3"/>
  <c r="R17" i="3"/>
  <c r="A10" i="3"/>
  <c r="D10" i="3"/>
  <c r="G10" i="3"/>
  <c r="J10" i="3"/>
  <c r="M10" i="3"/>
  <c r="A12" i="3"/>
  <c r="D12" i="3"/>
  <c r="G12" i="3"/>
  <c r="J12" i="3"/>
  <c r="M12" i="3"/>
  <c r="A14" i="3"/>
  <c r="D14" i="3"/>
  <c r="G14" i="3"/>
  <c r="J14" i="3"/>
  <c r="M14" i="3"/>
  <c r="A16" i="3"/>
  <c r="D16" i="3"/>
  <c r="G16" i="3"/>
  <c r="J16" i="3"/>
  <c r="M16" i="3"/>
  <c r="K6" i="3"/>
  <c r="A18" i="3"/>
  <c r="D18" i="3"/>
  <c r="G18" i="3"/>
  <c r="J18" i="3"/>
  <c r="M18" i="3"/>
  <c r="Q18" i="3"/>
  <c r="R19" i="3"/>
  <c r="A20" i="3"/>
  <c r="D20" i="3"/>
  <c r="G20" i="3"/>
  <c r="J20" i="3"/>
  <c r="M20" i="3"/>
  <c r="Q20" i="3"/>
  <c r="R21" i="3"/>
  <c r="A22" i="3"/>
  <c r="D22" i="3"/>
  <c r="G22" i="3"/>
  <c r="J22" i="3"/>
  <c r="M22" i="3"/>
  <c r="R23" i="3"/>
  <c r="A24" i="3"/>
  <c r="D24" i="3"/>
  <c r="G24" i="3"/>
  <c r="J24" i="3"/>
  <c r="M24" i="3"/>
  <c r="R25" i="3"/>
  <c r="A26" i="3"/>
  <c r="D26" i="3"/>
  <c r="G26" i="3"/>
  <c r="J26" i="3"/>
  <c r="M26" i="3"/>
  <c r="R27" i="3"/>
  <c r="A28" i="3"/>
  <c r="D28" i="3"/>
  <c r="G28" i="3"/>
  <c r="J28" i="3"/>
  <c r="M28" i="3"/>
  <c r="R29" i="3"/>
  <c r="A30" i="3"/>
  <c r="D30" i="3"/>
  <c r="G30" i="3"/>
  <c r="J30" i="3"/>
  <c r="M30" i="3"/>
  <c r="R31" i="3"/>
  <c r="R33" i="3"/>
  <c r="R35" i="3"/>
  <c r="R37" i="3"/>
  <c r="R40" i="3"/>
  <c r="Q8" i="4"/>
  <c r="A8" i="4"/>
  <c r="D8" i="4"/>
  <c r="G8" i="4"/>
  <c r="J8" i="4"/>
  <c r="M8" i="4"/>
  <c r="R9" i="4"/>
  <c r="Q10" i="4"/>
  <c r="R11" i="4"/>
  <c r="Q12" i="4"/>
  <c r="R13" i="4"/>
  <c r="Q14" i="4"/>
  <c r="R15" i="4"/>
  <c r="Q16" i="4"/>
  <c r="R17" i="4"/>
  <c r="A10" i="4"/>
  <c r="D10" i="4"/>
  <c r="G10" i="4"/>
  <c r="J10" i="4"/>
  <c r="M10" i="4"/>
  <c r="A12" i="4"/>
  <c r="D12" i="4"/>
  <c r="G12" i="4"/>
  <c r="J12" i="4"/>
  <c r="M12" i="4"/>
  <c r="A14" i="4"/>
  <c r="D14" i="4"/>
  <c r="G14" i="4"/>
  <c r="J14" i="4"/>
  <c r="M14" i="4"/>
  <c r="A16" i="4"/>
  <c r="D16" i="4"/>
  <c r="G16" i="4"/>
  <c r="J16" i="4"/>
  <c r="M16" i="4"/>
  <c r="K6" i="4"/>
  <c r="A18" i="4"/>
  <c r="D18" i="4"/>
  <c r="G18" i="4"/>
  <c r="J18" i="4"/>
  <c r="M18" i="4"/>
  <c r="Q18" i="4"/>
  <c r="R19" i="4"/>
  <c r="A20" i="4"/>
  <c r="D20" i="4"/>
  <c r="G20" i="4"/>
  <c r="J20" i="4"/>
  <c r="M20" i="4"/>
  <c r="R21" i="4"/>
  <c r="A22" i="4"/>
  <c r="D22" i="4"/>
  <c r="G22" i="4"/>
  <c r="J22" i="4"/>
  <c r="M22" i="4"/>
  <c r="R23" i="4"/>
  <c r="A24" i="4"/>
  <c r="D24" i="4"/>
  <c r="G24" i="4"/>
  <c r="J24" i="4"/>
  <c r="M24" i="4"/>
  <c r="R25" i="4"/>
  <c r="A26" i="4"/>
  <c r="D26" i="4"/>
  <c r="G26" i="4"/>
  <c r="J26" i="4"/>
  <c r="M26" i="4"/>
  <c r="R27" i="4"/>
  <c r="A28" i="4"/>
  <c r="D28" i="4"/>
  <c r="G28" i="4"/>
  <c r="J28" i="4"/>
  <c r="M28" i="4"/>
  <c r="R29" i="4"/>
  <c r="A30" i="4"/>
  <c r="D30" i="4"/>
  <c r="G30" i="4"/>
  <c r="J30" i="4"/>
  <c r="M30" i="4"/>
  <c r="R31" i="4"/>
  <c r="R33" i="4"/>
  <c r="R35" i="4"/>
  <c r="R37" i="4"/>
  <c r="R40" i="4"/>
  <c r="Q8" i="5"/>
  <c r="A8" i="5"/>
  <c r="D8" i="5"/>
  <c r="G8" i="5"/>
  <c r="J8" i="5"/>
  <c r="M8" i="5"/>
  <c r="R9" i="5"/>
  <c r="Q10" i="5"/>
  <c r="R11" i="5"/>
  <c r="Q12" i="5"/>
  <c r="R13" i="5"/>
  <c r="Q14" i="5"/>
  <c r="R15" i="5"/>
  <c r="Q16" i="5"/>
  <c r="R17" i="5"/>
  <c r="A10" i="5"/>
  <c r="D10" i="5"/>
  <c r="G10" i="5"/>
  <c r="J10" i="5"/>
  <c r="M10" i="5"/>
  <c r="A12" i="5"/>
  <c r="D12" i="5"/>
  <c r="G12" i="5"/>
  <c r="J12" i="5"/>
  <c r="M12" i="5"/>
  <c r="A14" i="5"/>
  <c r="D14" i="5"/>
  <c r="G14" i="5"/>
  <c r="J14" i="5"/>
  <c r="M14" i="5"/>
  <c r="A16" i="5"/>
  <c r="D16" i="5"/>
  <c r="G16" i="5"/>
  <c r="J16" i="5"/>
  <c r="M16" i="5"/>
  <c r="K6" i="5"/>
  <c r="A18" i="5"/>
  <c r="D18" i="5"/>
  <c r="G18" i="5"/>
  <c r="J18" i="5"/>
  <c r="M18" i="5"/>
  <c r="Q18" i="5"/>
  <c r="R19" i="5"/>
  <c r="A20" i="5"/>
  <c r="D20" i="5"/>
  <c r="G20" i="5"/>
  <c r="J20" i="5"/>
  <c r="M20" i="5"/>
  <c r="Q20" i="5"/>
  <c r="R21" i="5"/>
  <c r="A22" i="5"/>
  <c r="D22" i="5"/>
  <c r="G22" i="5"/>
  <c r="J22" i="5"/>
  <c r="M22" i="5"/>
  <c r="Q22" i="5"/>
  <c r="R23" i="5"/>
  <c r="A24" i="5"/>
  <c r="D24" i="5"/>
  <c r="G24" i="5"/>
  <c r="J24" i="5"/>
  <c r="M24" i="5"/>
  <c r="Q24" i="5"/>
  <c r="R25" i="5"/>
  <c r="A26" i="5"/>
  <c r="D26" i="5"/>
  <c r="G26" i="5"/>
  <c r="J26" i="5"/>
  <c r="M26" i="5"/>
  <c r="Q26" i="5"/>
  <c r="R27" i="5"/>
  <c r="A28" i="5"/>
  <c r="D28" i="5"/>
  <c r="G28" i="5"/>
  <c r="J28" i="5"/>
  <c r="M28" i="5"/>
  <c r="Q28" i="5"/>
  <c r="R29" i="5"/>
  <c r="A30" i="5"/>
  <c r="D30" i="5"/>
  <c r="G30" i="5"/>
  <c r="J30" i="5"/>
  <c r="M30" i="5"/>
  <c r="Q30" i="5"/>
  <c r="R31" i="5"/>
  <c r="R33" i="5"/>
  <c r="R35" i="5"/>
  <c r="R37" i="5"/>
  <c r="R40" i="5"/>
  <c r="S40" i="5"/>
  <c r="Q40" i="5"/>
  <c r="A40" i="5"/>
  <c r="S37" i="5"/>
  <c r="Q37" i="5"/>
  <c r="A37" i="5"/>
  <c r="A36" i="5"/>
  <c r="S35" i="5"/>
  <c r="Q35" i="5"/>
  <c r="S33" i="5"/>
  <c r="Q33" i="5"/>
  <c r="A33" i="5"/>
  <c r="S31" i="5"/>
  <c r="D31" i="5"/>
  <c r="G31" i="5"/>
  <c r="J31" i="5"/>
  <c r="M31" i="5"/>
  <c r="Q31" i="5"/>
  <c r="T30" i="5"/>
  <c r="S30" i="5"/>
  <c r="D29" i="5"/>
  <c r="G29" i="5"/>
  <c r="J29" i="5"/>
  <c r="M29" i="5"/>
  <c r="Q29" i="5"/>
  <c r="T28" i="5"/>
  <c r="S28" i="5"/>
  <c r="D27" i="5"/>
  <c r="G27" i="5"/>
  <c r="J27" i="5"/>
  <c r="M27" i="5"/>
  <c r="Q27" i="5"/>
  <c r="T26" i="5"/>
  <c r="S26" i="5"/>
  <c r="D25" i="5"/>
  <c r="G25" i="5"/>
  <c r="J25" i="5"/>
  <c r="M25" i="5"/>
  <c r="Q25" i="5"/>
  <c r="T24" i="5"/>
  <c r="S24" i="5"/>
  <c r="D23" i="5"/>
  <c r="G23" i="5"/>
  <c r="J23" i="5"/>
  <c r="M23" i="5"/>
  <c r="Q23" i="5"/>
  <c r="T22" i="5"/>
  <c r="S22" i="5"/>
  <c r="D21" i="5"/>
  <c r="G21" i="5"/>
  <c r="J21" i="5"/>
  <c r="M21" i="5"/>
  <c r="Q21" i="5"/>
  <c r="T20" i="5"/>
  <c r="S20" i="5"/>
  <c r="Q19" i="5"/>
  <c r="T18" i="5"/>
  <c r="S18" i="5"/>
  <c r="T16" i="5"/>
  <c r="S16" i="5"/>
  <c r="T14" i="5"/>
  <c r="S14" i="5"/>
  <c r="T12" i="5"/>
  <c r="S12" i="5"/>
  <c r="T10" i="5"/>
  <c r="S10" i="5"/>
  <c r="U8" i="5"/>
  <c r="T8" i="5"/>
  <c r="S8" i="5"/>
  <c r="M6" i="5"/>
  <c r="J6" i="5"/>
  <c r="H6" i="5"/>
  <c r="G6" i="5"/>
  <c r="D6" i="5"/>
  <c r="A6" i="5"/>
  <c r="A5" i="5"/>
  <c r="M4" i="5"/>
  <c r="D4" i="5"/>
  <c r="M3" i="5"/>
  <c r="D3" i="5"/>
  <c r="U2" i="5"/>
  <c r="M2" i="5"/>
  <c r="D2" i="5"/>
  <c r="U1" i="5"/>
  <c r="M1" i="5"/>
  <c r="D1" i="5"/>
  <c r="A41" i="4"/>
  <c r="S40" i="4"/>
  <c r="Q40" i="4"/>
  <c r="A40" i="4"/>
  <c r="S37" i="4"/>
  <c r="Q37" i="4"/>
  <c r="A37" i="4"/>
  <c r="A36" i="4"/>
  <c r="S35" i="4"/>
  <c r="Q35" i="4"/>
  <c r="S33" i="4"/>
  <c r="Q33" i="4"/>
  <c r="A33" i="4"/>
  <c r="S31" i="4"/>
  <c r="D31" i="4"/>
  <c r="G31" i="4"/>
  <c r="J31" i="4"/>
  <c r="M31" i="4"/>
  <c r="Q31" i="4"/>
  <c r="Q30" i="4"/>
  <c r="T30" i="4"/>
  <c r="S30" i="4"/>
  <c r="S29" i="4"/>
  <c r="D29" i="4"/>
  <c r="G29" i="4"/>
  <c r="J29" i="4"/>
  <c r="M29" i="4"/>
  <c r="Q29" i="4"/>
  <c r="Q28" i="4"/>
  <c r="T28" i="4"/>
  <c r="S28" i="4"/>
  <c r="S27" i="4"/>
  <c r="D27" i="4"/>
  <c r="G27" i="4"/>
  <c r="J27" i="4"/>
  <c r="M27" i="4"/>
  <c r="Q27" i="4"/>
  <c r="Q26" i="4"/>
  <c r="T26" i="4"/>
  <c r="S26" i="4"/>
  <c r="S25" i="4"/>
  <c r="D25" i="4"/>
  <c r="G25" i="4"/>
  <c r="J25" i="4"/>
  <c r="M25" i="4"/>
  <c r="Q25" i="4"/>
  <c r="Q24" i="4"/>
  <c r="T24" i="4"/>
  <c r="S24" i="4"/>
  <c r="S23" i="4"/>
  <c r="D23" i="4"/>
  <c r="G23" i="4"/>
  <c r="J23" i="4"/>
  <c r="M23" i="4"/>
  <c r="Q23" i="4"/>
  <c r="Q22" i="4"/>
  <c r="T22" i="4"/>
  <c r="S22" i="4"/>
  <c r="S21" i="4"/>
  <c r="D21" i="4"/>
  <c r="G21" i="4"/>
  <c r="J21" i="4"/>
  <c r="M21" i="4"/>
  <c r="Q21" i="4"/>
  <c r="Q20" i="4"/>
  <c r="T20" i="4"/>
  <c r="S20" i="4"/>
  <c r="Q19" i="4"/>
  <c r="T18" i="4"/>
  <c r="S18" i="4"/>
  <c r="T16" i="4"/>
  <c r="S16" i="4"/>
  <c r="T14" i="4"/>
  <c r="S14" i="4"/>
  <c r="T12" i="4"/>
  <c r="S12" i="4"/>
  <c r="T10" i="4"/>
  <c r="S10" i="4"/>
  <c r="U8" i="4"/>
  <c r="T8" i="4"/>
  <c r="S8" i="4"/>
  <c r="M6" i="4"/>
  <c r="J6" i="4"/>
  <c r="H6" i="4"/>
  <c r="G6" i="4"/>
  <c r="D6" i="4"/>
  <c r="A6" i="4"/>
  <c r="A5" i="4"/>
  <c r="M4" i="4"/>
  <c r="D4" i="4"/>
  <c r="M3" i="4"/>
  <c r="D3" i="4"/>
  <c r="U2" i="4"/>
  <c r="M2" i="4"/>
  <c r="D2" i="4"/>
  <c r="M1" i="4"/>
  <c r="D1" i="4"/>
  <c r="A41" i="3"/>
  <c r="S40" i="3"/>
  <c r="Q40" i="3"/>
  <c r="A40" i="3"/>
  <c r="S37" i="3"/>
  <c r="Q37" i="3"/>
  <c r="A37" i="3"/>
  <c r="A36" i="3"/>
  <c r="S35" i="3"/>
  <c r="Q35" i="3"/>
  <c r="S33" i="3"/>
  <c r="Q33" i="3"/>
  <c r="A33" i="3"/>
  <c r="S31" i="3"/>
  <c r="D31" i="3"/>
  <c r="G31" i="3"/>
  <c r="J31" i="3"/>
  <c r="M31" i="3"/>
  <c r="Q31" i="3"/>
  <c r="Q30" i="3"/>
  <c r="T30" i="3"/>
  <c r="S30" i="3"/>
  <c r="S29" i="3"/>
  <c r="D29" i="3"/>
  <c r="G29" i="3"/>
  <c r="J29" i="3"/>
  <c r="M29" i="3"/>
  <c r="Q29" i="3"/>
  <c r="Q28" i="3"/>
  <c r="T28" i="3"/>
  <c r="S28" i="3"/>
  <c r="S27" i="3"/>
  <c r="D27" i="3"/>
  <c r="G27" i="3"/>
  <c r="J27" i="3"/>
  <c r="M27" i="3"/>
  <c r="Q27" i="3"/>
  <c r="Q26" i="3"/>
  <c r="T26" i="3"/>
  <c r="S26" i="3"/>
  <c r="Q24" i="3"/>
  <c r="U25" i="3"/>
  <c r="S25" i="3"/>
  <c r="D25" i="3"/>
  <c r="G25" i="3"/>
  <c r="J25" i="3"/>
  <c r="M25" i="3"/>
  <c r="Q25" i="3"/>
  <c r="T24" i="3"/>
  <c r="S24" i="3"/>
  <c r="S23" i="3"/>
  <c r="D23" i="3"/>
  <c r="G23" i="3"/>
  <c r="J23" i="3"/>
  <c r="M23" i="3"/>
  <c r="Q23" i="3"/>
  <c r="Q22" i="3"/>
  <c r="T22" i="3"/>
  <c r="S22" i="3"/>
  <c r="S21" i="3"/>
  <c r="D21" i="3"/>
  <c r="G21" i="3"/>
  <c r="J21" i="3"/>
  <c r="M21" i="3"/>
  <c r="Q21" i="3"/>
  <c r="T20" i="3"/>
  <c r="S20" i="3"/>
  <c r="Q19" i="3"/>
  <c r="T18" i="3"/>
  <c r="S18" i="3"/>
  <c r="T16" i="3"/>
  <c r="S16" i="3"/>
  <c r="T14" i="3"/>
  <c r="S14" i="3"/>
  <c r="T12" i="3"/>
  <c r="S12" i="3"/>
  <c r="T10" i="3"/>
  <c r="U8" i="3"/>
  <c r="T8" i="3"/>
  <c r="M6" i="3"/>
  <c r="J6" i="3"/>
  <c r="H6" i="3"/>
  <c r="G6" i="3"/>
  <c r="D6" i="3"/>
  <c r="A6" i="3"/>
  <c r="A5" i="3"/>
  <c r="M4" i="3"/>
  <c r="D4" i="3"/>
  <c r="M3" i="3"/>
  <c r="D3" i="3"/>
  <c r="U2" i="3"/>
  <c r="M2" i="3"/>
  <c r="D2" i="3"/>
  <c r="M1" i="3"/>
  <c r="D1" i="3"/>
  <c r="A41" i="2"/>
  <c r="S40" i="2"/>
  <c r="Q40" i="2"/>
  <c r="A40" i="2"/>
  <c r="S37" i="2"/>
  <c r="Q37" i="2"/>
  <c r="A37" i="2"/>
  <c r="A36" i="2"/>
  <c r="S35" i="2"/>
  <c r="S33" i="2"/>
  <c r="Q33" i="2"/>
  <c r="A33" i="2"/>
  <c r="S31" i="2"/>
  <c r="D31" i="2"/>
  <c r="G31" i="2"/>
  <c r="J31" i="2"/>
  <c r="M31" i="2"/>
  <c r="Q31" i="2"/>
  <c r="Q30" i="2"/>
  <c r="T30" i="2"/>
  <c r="S30" i="2"/>
  <c r="S29" i="2"/>
  <c r="D29" i="2"/>
  <c r="G29" i="2"/>
  <c r="J29" i="2"/>
  <c r="M29" i="2"/>
  <c r="Q29" i="2"/>
  <c r="Q28" i="2"/>
  <c r="T28" i="2"/>
  <c r="S28" i="2"/>
  <c r="S27" i="2"/>
  <c r="D27" i="2"/>
  <c r="G27" i="2"/>
  <c r="J27" i="2"/>
  <c r="M27" i="2"/>
  <c r="Q27" i="2"/>
  <c r="Q26" i="2"/>
  <c r="T26" i="2"/>
  <c r="S26" i="2"/>
  <c r="S25" i="2"/>
  <c r="D25" i="2"/>
  <c r="G25" i="2"/>
  <c r="J25" i="2"/>
  <c r="M25" i="2"/>
  <c r="Q25" i="2"/>
  <c r="Q24" i="2"/>
  <c r="T24" i="2"/>
  <c r="S24" i="2"/>
  <c r="S23" i="2"/>
  <c r="D23" i="2"/>
  <c r="G23" i="2"/>
  <c r="J23" i="2"/>
  <c r="M23" i="2"/>
  <c r="Q23" i="2"/>
  <c r="Q22" i="2"/>
  <c r="T22" i="2"/>
  <c r="S22" i="2"/>
  <c r="D21" i="2"/>
  <c r="G21" i="2"/>
  <c r="J21" i="2"/>
  <c r="M21" i="2"/>
  <c r="Q21" i="2"/>
  <c r="T20" i="2"/>
  <c r="S20" i="2"/>
  <c r="Q19" i="2"/>
  <c r="T18" i="2"/>
  <c r="S18" i="2"/>
  <c r="T16" i="2"/>
  <c r="S16" i="2"/>
  <c r="T14" i="2"/>
  <c r="S14" i="2"/>
  <c r="T12" i="2"/>
  <c r="S12" i="2"/>
  <c r="T10" i="2"/>
  <c r="S10" i="2"/>
  <c r="U8" i="2"/>
  <c r="T8" i="2"/>
  <c r="S8" i="2"/>
  <c r="M6" i="2"/>
  <c r="J6" i="2"/>
  <c r="H6" i="2"/>
  <c r="G6" i="2"/>
  <c r="D6" i="2"/>
  <c r="C6" i="2"/>
  <c r="B6" i="2"/>
  <c r="A6" i="2"/>
  <c r="M4" i="2"/>
  <c r="D4" i="2"/>
  <c r="M3" i="2"/>
  <c r="D3" i="2"/>
  <c r="U2" i="2"/>
  <c r="M2" i="2"/>
  <c r="D2" i="2"/>
  <c r="M1" i="2"/>
  <c r="D1" i="2"/>
  <c r="S40" i="1"/>
  <c r="S37" i="1"/>
  <c r="S33" i="1"/>
  <c r="S31" i="1"/>
  <c r="D31" i="1"/>
  <c r="G31" i="1"/>
  <c r="J31" i="1"/>
  <c r="M31" i="1"/>
  <c r="Q31" i="1"/>
  <c r="T30" i="1"/>
  <c r="S30" i="1"/>
  <c r="S29" i="1"/>
  <c r="D29" i="1"/>
  <c r="G29" i="1"/>
  <c r="J29" i="1"/>
  <c r="M29" i="1"/>
  <c r="Q29" i="1"/>
  <c r="T28" i="1"/>
  <c r="S28" i="1"/>
  <c r="S27" i="1"/>
  <c r="D27" i="1"/>
  <c r="G27" i="1"/>
  <c r="J27" i="1"/>
  <c r="M27" i="1"/>
  <c r="Q27" i="1"/>
  <c r="T26" i="1"/>
  <c r="S26" i="1"/>
  <c r="S25" i="1"/>
  <c r="D25" i="1"/>
  <c r="G25" i="1"/>
  <c r="J25" i="1"/>
  <c r="M25" i="1"/>
  <c r="Q25" i="1"/>
  <c r="T24" i="1"/>
  <c r="S24" i="1"/>
  <c r="S23" i="1"/>
  <c r="D23" i="1"/>
  <c r="G23" i="1"/>
  <c r="J23" i="1"/>
  <c r="M23" i="1"/>
  <c r="Q23" i="1"/>
  <c r="T22" i="1"/>
  <c r="S22" i="1"/>
  <c r="D21" i="1"/>
  <c r="G21" i="1"/>
  <c r="J21" i="1"/>
  <c r="M21" i="1"/>
  <c r="Q21" i="1"/>
  <c r="T20" i="1"/>
  <c r="S20" i="1"/>
  <c r="Q19" i="1"/>
  <c r="T18" i="1"/>
  <c r="S18" i="1"/>
  <c r="T16" i="1"/>
  <c r="S16" i="1"/>
  <c r="T14" i="1"/>
  <c r="S14" i="1"/>
  <c r="T12" i="1"/>
  <c r="S12" i="1"/>
  <c r="T10" i="1"/>
  <c r="S10" i="1"/>
  <c r="T8" i="1"/>
  <c r="M6" i="1"/>
  <c r="M4" i="1"/>
  <c r="M3" i="1"/>
  <c r="U2" i="1"/>
  <c r="M2" i="1"/>
  <c r="M1" i="1"/>
</calcChain>
</file>

<file path=xl/sharedStrings.xml><?xml version="1.0" encoding="utf-8"?>
<sst xmlns="http://schemas.openxmlformats.org/spreadsheetml/2006/main" count="474" uniqueCount="81">
  <si>
    <t>Nom :</t>
  </si>
  <si>
    <t>Prénom :</t>
  </si>
  <si>
    <t>École de rattachement :</t>
  </si>
  <si>
    <t>Circonscription :</t>
  </si>
  <si>
    <t>Saisir l'année scolaire et la zone académique ci-dessous</t>
  </si>
  <si>
    <t>2017-2018</t>
  </si>
  <si>
    <t>Zone A</t>
  </si>
  <si>
    <t>du</t>
  </si>
  <si>
    <t>au</t>
  </si>
  <si>
    <t>lundi</t>
  </si>
  <si>
    <t>mardi</t>
  </si>
  <si>
    <t>mercredi</t>
  </si>
  <si>
    <t>jeudi</t>
  </si>
  <si>
    <t>vendredi</t>
  </si>
  <si>
    <t>Service 
effectué
dans la 
semaine</t>
  </si>
  <si>
    <t>Solde
de la
semaine</t>
  </si>
  <si>
    <t>école</t>
  </si>
  <si>
    <r>
      <t>Dans les cellules "école", inscrire pour mémoire, le nom de l'école d'exercice.</t>
    </r>
    <r>
      <rPr>
        <b/>
        <i/>
        <sz val="10"/>
        <color rgb="FF333333"/>
        <rFont val="Arial"/>
        <family val="2"/>
      </rPr>
      <t>Dans les cellules bleues, saisir la durée horaire effectuée : Pour 6 h de classe, saisir : 6:00 ; pour 5h30, saisir : 5:30 ; etc …</t>
    </r>
  </si>
  <si>
    <t>Solde 
à récupérer*
sur la
période</t>
  </si>
  <si>
    <t>Récupération des heures</t>
  </si>
  <si>
    <t>Indiquer ci-contre les dates (pour mémoire) ainsi que les heures récupérées sur la période.</t>
  </si>
  <si>
    <t>date</t>
  </si>
  <si>
    <t>heures</t>
  </si>
  <si>
    <t>Total 
récupéré sur la période</t>
  </si>
  <si>
    <t>Solde à récupérer* : voir le Décret n° 2014-942 du 20 août 2014 relatif aux obligations de service des personnels enseignants du premier degré :</t>
  </si>
  <si>
    <t>Reste à 
récupérer sur l'année</t>
  </si>
  <si>
    <t>http://www.legifrance.gouv.fr/affichTexte.do?cidTexte=JORFTEXT000029390985&amp;dateTexte=&amp;categorieLien=id</t>
  </si>
  <si>
    <t>Les choix de l'année scolaire et de la zone académique se font dans l'onglet « Période 1 »</t>
  </si>
  <si>
    <t>Cumul à récupérer 
sur l'année</t>
  </si>
  <si>
    <t>Zone acad. choisie :</t>
  </si>
  <si>
    <t>Dans les calendriers ci-dessous, la « vacance » du vendredi de l'ascension est modifiable indépendamment pour chaque zone. 
Il se peut en effet que certains recteurs décident d'ajustements locaux : en particulier en cas de « non vacance ».</t>
  </si>
  <si>
    <t>Identifiants de la Section :</t>
  </si>
  <si>
    <t>Année scolaire choisie :</t>
  </si>
  <si>
    <t>2015-2016</t>
  </si>
  <si>
    <t>2016-2017</t>
  </si>
  <si>
    <t>Congés</t>
  </si>
  <si>
    <t>Zone B</t>
  </si>
  <si>
    <t>Zone C</t>
  </si>
  <si>
    <t>ZONE A</t>
  </si>
  <si>
    <t>ZONE B</t>
  </si>
  <si>
    <t>ZONE C</t>
  </si>
  <si>
    <t>Pré-rentrée</t>
  </si>
  <si>
    <t>Rentrée</t>
  </si>
  <si>
    <t>Toussaint Début</t>
  </si>
  <si>
    <t>Les quatre cellules ci-dessus servent à renseigner le cartouche d'identification présent en haut de chaque feuille de période.
La deuxième cellule doit obligatoirement être l'adresse de courriel.
La quatrième cellule peut être vide.</t>
  </si>
  <si>
    <t>Toussaint Fin</t>
  </si>
  <si>
    <t>Noël Début</t>
  </si>
  <si>
    <t>Noël Fin</t>
  </si>
  <si>
    <t>Hiver Début</t>
  </si>
  <si>
    <t>Hiver Fin</t>
  </si>
  <si>
    <t>Printemps Début</t>
  </si>
  <si>
    <t>Printemps Fin</t>
  </si>
  <si>
    <t>Vendredi Ascension</t>
  </si>
  <si>
    <t>vaqué</t>
  </si>
  <si>
    <t>non vaqué</t>
  </si>
  <si>
    <t>Sortie</t>
  </si>
  <si>
    <t>Index des choix à proposer 
sur le premier onglet</t>
  </si>
  <si>
    <r>
      <t>Cette feuille sert de références aux calculs des périodes 1 à 5.</t>
    </r>
    <r>
      <rPr>
        <b/>
        <sz val="10.5"/>
        <rFont val="Arial"/>
        <family val="2"/>
      </rPr>
      <t>Colonnes A et B :</t>
    </r>
    <r>
      <rPr>
        <b/>
        <sz val="10.5"/>
        <color rgb="FFFF3333"/>
        <rFont val="Arial"/>
        <family val="2"/>
      </rPr>
      <t>Aucune modification ne doit être opérée dans ces cellules.</t>
    </r>
    <r>
      <rPr>
        <sz val="10"/>
        <rFont val="Arial"/>
        <family val="2"/>
      </rPr>
      <t>- Les cellules B1 et B2 reprennent les choix opérés par l'utilisateur dans le premier onglet (Période 1).
- Les cellules B5 à B16 extraient les dates des vacances correspondant aux choix de l'année scolaire et de la zone académique.
- Les cellules A20 à A22 construisent automatiquement la liste des choix proposés dans la cellule A6 de l'onglet Période 1 en fonction des années scolaires indiquées dans le calendrier ci-dessus.
- Les cellules B25 à B38 indiquent - pour mémoire - les jours fériés de l'année scolaire choisie.
- La cellule A40 contient un message d'avertissement qui s'affiche selon le contexte : il est en effet impossible de comptabiliser les « heures en trop » pour les semaines « incomplètes » qui existent pour certaines périodes selon les années scolaires.</t>
    </r>
    <r>
      <rPr>
        <b/>
        <sz val="10.5"/>
        <rFont val="Arial"/>
        <family val="2"/>
      </rPr>
      <t>Plage de cellules de E3 à Y16 :</t>
    </r>
    <r>
      <rPr>
        <sz val="10"/>
        <rFont val="Arial"/>
        <family val="2"/>
      </rPr>
      <t>Cette plage sert à saisir les dates de vacances pour chaque zone pour les trois années scolaires dont le calendrier est connu.</t>
    </r>
    <r>
      <rPr>
        <b/>
        <sz val="10"/>
        <rFont val="Arial"/>
        <family val="2"/>
      </rPr>
      <t>Pour l'actualisation des calendriers :</t>
    </r>
    <r>
      <rPr>
        <sz val="10"/>
        <rFont val="Arial"/>
        <family val="2"/>
      </rPr>
      <t>- dans les cellules E3 ; M3 et U3 il faut respecter le format des années scolaires : « aaaa-aaaa ».
- pour les dates de début et de fin de vacances, il faut respecter le format de date : jj/mm/aa ou jj/mm/aaaa</t>
    </r>
    <r>
      <rPr>
        <b/>
        <sz val="10.5"/>
        <rFont val="Arial"/>
        <family val="2"/>
      </rPr>
      <t>Cellules AC2 à AC5 :</t>
    </r>
    <r>
      <rPr>
        <sz val="10"/>
        <rFont val="Arial"/>
        <family val="2"/>
      </rPr>
      <t>Elles permettent de saisir les identifiants de la section SNU.</t>
    </r>
    <r>
      <rPr>
        <b/>
        <sz val="10"/>
        <rFont val="Arial"/>
        <family val="2"/>
      </rPr>
      <t>Attention :</t>
    </r>
    <r>
      <rPr>
        <sz val="10"/>
        <rFont val="Arial"/>
        <family val="2"/>
      </rPr>
      <t>une adresse postale (donc contenu long) risque de ne pas « tenir » dans les cellules des périodes.</t>
    </r>
  </si>
  <si>
    <t>Fériés</t>
  </si>
  <si>
    <t>Armistice 1918</t>
  </si>
  <si>
    <t>Ascension</t>
  </si>
  <si>
    <t>Ascension (vendredi de)</t>
  </si>
  <si>
    <t>Assomption</t>
  </si>
  <si>
    <t>Fête du Travail</t>
  </si>
  <si>
    <t>Fête nationale</t>
  </si>
  <si>
    <t>Jour de l'an</t>
  </si>
  <si>
    <t>Noël</t>
  </si>
  <si>
    <t>Pâques</t>
  </si>
  <si>
    <t>Pâques (lundi de)</t>
  </si>
  <si>
    <t>Pentecôte</t>
  </si>
  <si>
    <t>Pentecôte (lundi de)</t>
  </si>
  <si>
    <t>Toussaint</t>
  </si>
  <si>
    <t>Victoire 1945</t>
  </si>
  <si>
    <t>Ce fichier ne peut pas comptabiliser les heures effectuées en trop au cours des semaines « incomplètes ». 
Il vous faudra compter ces heures manuellement.</t>
  </si>
  <si>
    <r>
      <t>Les feuilles de chaque période doivent impérativement être</t>
    </r>
    <r>
      <rPr>
        <b/>
        <sz val="10"/>
        <rFont val="Arial"/>
        <family val="2"/>
      </rPr>
      <t>« protégées »</t>
    </r>
    <r>
      <rPr>
        <sz val="10"/>
        <rFont val="Arial"/>
        <family val="2"/>
      </rPr>
      <t>, essentiellement pour éviter que l'utilisateur étourdi ne supprime ou modifie par inadvertance telle ou telle formule essentielle : Menu Outils → Protéger le document → Feuille :</t>
    </r>
    <r>
      <rPr>
        <b/>
        <sz val="10"/>
        <rFont val="Arial"/>
        <family val="2"/>
      </rPr>
      <t>décocher</t>
    </r>
    <r>
      <rPr>
        <sz val="10"/>
        <rFont val="Arial"/>
        <family val="2"/>
      </rPr>
      <t>« Sélectionner les cellules protégées » et</t>
    </r>
    <r>
      <rPr>
        <b/>
        <sz val="10"/>
        <rFont val="Arial"/>
        <family val="2"/>
      </rPr>
      <t>saisir</t>
    </r>
    <r>
      <rPr>
        <sz val="10"/>
        <rFont val="Arial"/>
        <family val="2"/>
      </rPr>
      <t>un mot de passe.
De plus, cette feuille-ci ne doit pas être visible par l'utilisateur, il faut la protéger par un mot de passe et la</t>
    </r>
    <r>
      <rPr>
        <b/>
        <sz val="10"/>
        <rFont val="Arial"/>
        <family val="2"/>
      </rPr>
      <t>« masquer »</t>
    </r>
    <r>
      <rPr>
        <sz val="10"/>
        <rFont val="Arial"/>
        <family val="2"/>
      </rPr>
      <t> après usage :
Menu Format → Feuille → Masquer</t>
    </r>
  </si>
  <si>
    <t>ANNEE($B$5+150)</t>
  </si>
  <si>
    <t>Les modifications des calendriers et des identifiants de la section peuvent être opérées après déprotection de cette feuille :
Menu Outils → Protection → Protéger la Feuille : saisir le mot de passe.</t>
  </si>
  <si>
    <t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t>
  </si>
  <si>
    <t>SNUipp-FSU 56</t>
  </si>
  <si>
    <t>snu56@snuipp.fr</t>
  </si>
  <si>
    <t>02 97 21 03 41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</si>
</sst>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0\ 00\ 00\ 00\ 00"/>
    <numFmt numFmtId="165" formatCode="dd/mm"/>
    <numFmt numFmtId="166" formatCode="dddd\,\ d\ mmmm"/>
    <numFmt numFmtId="167" formatCode="[hh]:mm"/>
    <numFmt numFmtId="168" formatCode="h:mm;@"/>
    <numFmt numFmtId="169" formatCode="\+hh:mm\ ;\-hh:mm\ "/>
    <numFmt numFmtId="170" formatCode="\+[hh]:mm;\-[hh]:mm"/>
    <numFmt numFmtId="171" formatCode="ddd\-dd\-mmm"/>
    <numFmt numFmtId="172" formatCode="&quot;VRAI&quot;;&quot;VRAI&quot;;&quot;FAUX&quot;"/>
    <numFmt numFmtId="173" formatCode="\+0.00\ ;\-0.00\ "/>
    <numFmt numFmtId="174" formatCode="yyyy"/>
    <numFmt numFmtId="175" formatCode="dddd\,\ "/>
    <numFmt numFmtId="176" formatCode="ddd"/>
    <numFmt numFmtId="177" formatCode="ddd\ d\ mmm\ yy"/>
    <numFmt numFmtId="178" formatCode="[$-40C]d\ mmmm\ yyyy;@"/>
  </numFmts>
  <fonts count="23" x14ac:knownFonts="1"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u/>
      <sz val="10"/>
      <color rgb="FF0000FF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0"/>
      <name val="Arial"/>
      <family val="1"/>
    </font>
    <font>
      <b/>
      <i/>
      <sz val="10"/>
      <color rgb="FF33333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rgb="FF333333"/>
      <name val="Arial"/>
      <family val="2"/>
    </font>
    <font>
      <b/>
      <sz val="10"/>
      <color rgb="FF0000FF"/>
      <name val="Arial"/>
      <family val="2"/>
    </font>
    <font>
      <b/>
      <i/>
      <sz val="8"/>
      <color rgb="FF808080"/>
      <name val="Arial"/>
      <family val="2"/>
    </font>
    <font>
      <sz val="8"/>
      <color rgb="FFFFFFFF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rgb="FFFF3333"/>
      <name val="Arial"/>
      <family val="2"/>
    </font>
    <font>
      <u/>
      <sz val="10"/>
      <color theme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FF"/>
        <bgColor rgb="FFE6E6FF"/>
      </patternFill>
    </fill>
    <fill>
      <patternFill patternType="solid">
        <fgColor rgb="FF99CC66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99"/>
        <bgColor rgb="FFFFFF99"/>
      </patternFill>
    </fill>
    <fill>
      <patternFill patternType="solid">
        <fgColor rgb="FFE6E6FF"/>
        <bgColor rgb="FFFFFFFF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E6E6FF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 applyBorder="0" applyAlignment="0" applyProtection="0"/>
    <xf numFmtId="0" fontId="1" fillId="3" borderId="1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Protection="1"/>
    <xf numFmtId="0" fontId="0" fillId="0" borderId="0" xfId="0" applyAlignment="1">
      <alignment horizontal="right"/>
    </xf>
    <xf numFmtId="0" fontId="3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Protection="1"/>
    <xf numFmtId="165" fontId="7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46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7" fontId="0" fillId="0" borderId="0" xfId="0" applyNumberFormat="1" applyBorder="1" applyAlignment="1">
      <alignment horizontal="right" vertical="center"/>
    </xf>
    <xf numFmtId="168" fontId="0" fillId="0" borderId="0" xfId="0" applyNumberFormat="1" applyBorder="1" applyAlignment="1" applyProtection="1">
      <alignment horizontal="center" vertical="center"/>
    </xf>
    <xf numFmtId="170" fontId="9" fillId="0" borderId="0" xfId="0" applyNumberFormat="1" applyFont="1" applyBorder="1"/>
    <xf numFmtId="169" fontId="2" fillId="0" borderId="0" xfId="0" applyNumberFormat="1" applyFont="1" applyBorder="1" applyAlignment="1">
      <alignment horizontal="right" vertical="center"/>
    </xf>
    <xf numFmtId="170" fontId="0" fillId="0" borderId="0" xfId="0" applyNumberFormat="1" applyBorder="1"/>
    <xf numFmtId="167" fontId="9" fillId="0" borderId="0" xfId="0" applyNumberFormat="1" applyFont="1" applyBorder="1" applyAlignment="1">
      <alignment horizontal="center" vertical="center"/>
    </xf>
    <xf numFmtId="0" fontId="0" fillId="0" borderId="0" xfId="0"/>
    <xf numFmtId="167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Border="1" applyAlignment="1" applyProtection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68" fontId="0" fillId="0" borderId="0" xfId="0" applyNumberFormat="1" applyBorder="1" applyAlignment="1" applyProtection="1">
      <alignment vertical="center"/>
      <protection locked="0"/>
    </xf>
    <xf numFmtId="168" fontId="0" fillId="0" borderId="0" xfId="0" applyNumberFormat="1" applyBorder="1"/>
    <xf numFmtId="171" fontId="12" fillId="0" borderId="0" xfId="0" applyNumberFormat="1" applyFont="1" applyBorder="1" applyAlignment="1">
      <alignment vertical="center"/>
    </xf>
    <xf numFmtId="0" fontId="0" fillId="0" borderId="0" xfId="0" applyBorder="1"/>
    <xf numFmtId="171" fontId="3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20" fontId="6" fillId="0" borderId="0" xfId="0" applyNumberFormat="1" applyFont="1" applyAlignment="1">
      <alignment horizontal="center"/>
    </xf>
    <xf numFmtId="0" fontId="6" fillId="0" borderId="0" xfId="0" applyFont="1" applyAlignment="1"/>
    <xf numFmtId="20" fontId="2" fillId="2" borderId="1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 applyProtection="1"/>
    <xf numFmtId="0" fontId="15" fillId="0" borderId="0" xfId="0" applyFont="1" applyAlignment="1">
      <alignment horizontal="left"/>
    </xf>
    <xf numFmtId="20" fontId="6" fillId="0" borderId="0" xfId="0" applyNumberFormat="1" applyFont="1"/>
    <xf numFmtId="0" fontId="0" fillId="0" borderId="0" xfId="0" applyProtection="1"/>
    <xf numFmtId="0" fontId="3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center" vertical="center"/>
    </xf>
    <xf numFmtId="172" fontId="0" fillId="0" borderId="0" xfId="0" applyNumberFormat="1"/>
    <xf numFmtId="0" fontId="6" fillId="0" borderId="0" xfId="0" applyFo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173" fontId="17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0" fontId="0" fillId="0" borderId="0" xfId="0" applyBorder="1"/>
    <xf numFmtId="0" fontId="2" fillId="0" borderId="0" xfId="0" applyFont="1"/>
    <xf numFmtId="0" fontId="6" fillId="0" borderId="0" xfId="0" applyFont="1" applyBorder="1"/>
    <xf numFmtId="165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6" borderId="9" xfId="0" applyFont="1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/>
    </xf>
    <xf numFmtId="0" fontId="0" fillId="5" borderId="2" xfId="0" applyFill="1" applyBorder="1"/>
    <xf numFmtId="0" fontId="3" fillId="5" borderId="12" xfId="0" applyFont="1" applyFill="1" applyBorder="1" applyAlignment="1">
      <alignment horizontal="center"/>
    </xf>
    <xf numFmtId="0" fontId="0" fillId="5" borderId="13" xfId="0" applyFill="1" applyBorder="1"/>
    <xf numFmtId="0" fontId="0" fillId="6" borderId="9" xfId="0" applyFont="1" applyFill="1" applyBorder="1" applyProtection="1"/>
    <xf numFmtId="174" fontId="0" fillId="6" borderId="3" xfId="0" applyNumberFormat="1" applyFill="1" applyBorder="1" applyAlignment="1" applyProtection="1">
      <alignment horizontal="center"/>
    </xf>
    <xf numFmtId="0" fontId="0" fillId="5" borderId="4" xfId="0" applyFill="1" applyBorder="1"/>
    <xf numFmtId="0" fontId="3" fillId="0" borderId="7" xfId="0" applyFont="1" applyBorder="1" applyAlignment="1" applyProtection="1">
      <alignment horizontal="center"/>
    </xf>
    <xf numFmtId="0" fontId="0" fillId="5" borderId="14" xfId="0" applyFill="1" applyBorder="1"/>
    <xf numFmtId="0" fontId="3" fillId="5" borderId="2" xfId="0" applyFont="1" applyFill="1" applyBorder="1" applyAlignment="1" applyProtection="1">
      <alignment horizontal="center" vertical="center"/>
      <protection locked="0"/>
    </xf>
    <xf numFmtId="175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64" fontId="0" fillId="0" borderId="6" xfId="0" applyNumberFormat="1" applyBorder="1" applyAlignment="1" applyProtection="1">
      <alignment horizontal="center"/>
    </xf>
    <xf numFmtId="0" fontId="0" fillId="6" borderId="4" xfId="0" applyFont="1" applyFill="1" applyBorder="1" applyProtection="1"/>
    <xf numFmtId="14" fontId="0" fillId="6" borderId="14" xfId="0" applyNumberFormat="1" applyFont="1" applyFill="1" applyBorder="1" applyProtection="1"/>
    <xf numFmtId="175" fontId="0" fillId="5" borderId="4" xfId="0" applyNumberFormat="1" applyFill="1" applyBorder="1"/>
    <xf numFmtId="14" fontId="0" fillId="5" borderId="14" xfId="0" applyNumberFormat="1" applyFill="1" applyBorder="1" applyAlignment="1">
      <alignment vertical="center"/>
    </xf>
    <xf numFmtId="14" fontId="0" fillId="0" borderId="0" xfId="0" applyNumberFormat="1" applyAlignment="1">
      <alignment vertical="center"/>
    </xf>
    <xf numFmtId="175" fontId="0" fillId="5" borderId="4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14" fontId="0" fillId="5" borderId="14" xfId="0" applyNumberFormat="1" applyFill="1" applyBorder="1"/>
    <xf numFmtId="164" fontId="0" fillId="0" borderId="8" xfId="0" applyNumberFormat="1" applyBorder="1" applyAlignment="1" applyProtection="1">
      <alignment horizontal="center"/>
    </xf>
    <xf numFmtId="0" fontId="0" fillId="0" borderId="0" xfId="0"/>
    <xf numFmtId="0" fontId="0" fillId="5" borderId="0" xfId="0" applyFill="1"/>
    <xf numFmtId="0" fontId="0" fillId="5" borderId="4" xfId="0" applyFill="1" applyBorder="1"/>
    <xf numFmtId="0" fontId="0" fillId="5" borderId="4" xfId="0" applyFill="1" applyBorder="1" applyAlignment="1">
      <alignment vertical="center"/>
    </xf>
    <xf numFmtId="14" fontId="9" fillId="6" borderId="14" xfId="0" applyNumberFormat="1" applyFont="1" applyFill="1" applyBorder="1" applyProtection="1"/>
    <xf numFmtId="14" fontId="0" fillId="0" borderId="1" xfId="0" applyNumberFormat="1" applyBorder="1" applyAlignment="1" applyProtection="1">
      <alignment vertical="center"/>
    </xf>
    <xf numFmtId="14" fontId="0" fillId="5" borderId="0" xfId="0" applyNumberFormat="1" applyFill="1" applyBorder="1" applyAlignment="1" applyProtection="1">
      <alignment vertical="center"/>
    </xf>
    <xf numFmtId="14" fontId="9" fillId="6" borderId="14" xfId="0" applyNumberFormat="1" applyFont="1" applyFill="1" applyBorder="1" applyAlignment="1" applyProtection="1">
      <alignment horizontal="right"/>
    </xf>
    <xf numFmtId="14" fontId="6" fillId="0" borderId="1" xfId="0" applyNumberFormat="1" applyFont="1" applyBorder="1" applyAlignment="1" applyProtection="1">
      <alignment horizontal="center" vertical="center"/>
    </xf>
    <xf numFmtId="14" fontId="6" fillId="5" borderId="0" xfId="0" applyNumberFormat="1" applyFont="1" applyFill="1" applyBorder="1" applyAlignment="1" applyProtection="1">
      <alignment vertical="center"/>
    </xf>
    <xf numFmtId="0" fontId="0" fillId="6" borderId="5" xfId="0" applyFont="1" applyFill="1" applyBorder="1" applyProtection="1"/>
    <xf numFmtId="14" fontId="0" fillId="6" borderId="15" xfId="0" applyNumberFormat="1" applyFont="1" applyFill="1" applyBorder="1" applyProtection="1"/>
    <xf numFmtId="177" fontId="0" fillId="0" borderId="0" xfId="0" applyNumberFormat="1"/>
    <xf numFmtId="0" fontId="0" fillId="5" borderId="5" xfId="0" applyFill="1" applyBorder="1"/>
    <xf numFmtId="0" fontId="0" fillId="5" borderId="10" xfId="0" applyFill="1" applyBorder="1"/>
    <xf numFmtId="0" fontId="0" fillId="5" borderId="15" xfId="0" applyFill="1" applyBorder="1"/>
    <xf numFmtId="0" fontId="0" fillId="6" borderId="4" xfId="0" applyFont="1" applyFill="1" applyBorder="1"/>
    <xf numFmtId="177" fontId="0" fillId="6" borderId="14" xfId="0" applyNumberFormat="1" applyFill="1" applyBorder="1"/>
    <xf numFmtId="0" fontId="0" fillId="6" borderId="5" xfId="0" applyFont="1" applyFill="1" applyBorder="1"/>
    <xf numFmtId="177" fontId="0" fillId="6" borderId="15" xfId="0" applyNumberFormat="1" applyFill="1" applyBorder="1"/>
    <xf numFmtId="14" fontId="0" fillId="0" borderId="0" xfId="0" applyNumberFormat="1"/>
    <xf numFmtId="165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68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1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20" fontId="0" fillId="0" borderId="31" xfId="0" applyNumberFormat="1" applyBorder="1"/>
    <xf numFmtId="0" fontId="6" fillId="0" borderId="34" xfId="0" applyFont="1" applyBorder="1"/>
    <xf numFmtId="0" fontId="3" fillId="0" borderId="39" xfId="0" applyFont="1" applyBorder="1" applyAlignment="1">
      <alignment horizontal="right" vertical="center" wrapText="1"/>
    </xf>
    <xf numFmtId="0" fontId="0" fillId="0" borderId="40" xfId="0" applyBorder="1"/>
    <xf numFmtId="20" fontId="2" fillId="2" borderId="41" xfId="0" applyNumberFormat="1" applyFont="1" applyFill="1" applyBorder="1" applyAlignment="1">
      <alignment horizontal="right" vertical="center" wrapText="1"/>
    </xf>
    <xf numFmtId="20" fontId="9" fillId="0" borderId="40" xfId="0" applyNumberFormat="1" applyFont="1" applyBorder="1" applyAlignment="1">
      <alignment vertical="center"/>
    </xf>
    <xf numFmtId="20" fontId="2" fillId="2" borderId="4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43" xfId="0" applyFont="1" applyBorder="1" applyAlignment="1">
      <alignment horizontal="right" vertical="center" wrapText="1"/>
    </xf>
    <xf numFmtId="20" fontId="9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/>
    </xf>
    <xf numFmtId="173" fontId="17" fillId="0" borderId="44" xfId="0" applyNumberFormat="1" applyFont="1" applyBorder="1" applyAlignment="1">
      <alignment vertical="center"/>
    </xf>
    <xf numFmtId="20" fontId="2" fillId="2" borderId="45" xfId="0" applyNumberFormat="1" applyFont="1" applyFill="1" applyBorder="1" applyAlignment="1">
      <alignment horizontal="right" vertical="center" wrapText="1"/>
    </xf>
    <xf numFmtId="20" fontId="0" fillId="0" borderId="18" xfId="0" applyNumberFormat="1" applyBorder="1"/>
    <xf numFmtId="0" fontId="6" fillId="0" borderId="23" xfId="0" applyFont="1" applyBorder="1"/>
    <xf numFmtId="169" fontId="2" fillId="2" borderId="11" xfId="0" applyNumberFormat="1" applyFont="1" applyFill="1" applyBorder="1" applyAlignment="1">
      <alignment horizontal="right" vertical="center"/>
    </xf>
    <xf numFmtId="0" fontId="4" fillId="0" borderId="6" xfId="1" applyBorder="1" applyAlignment="1" applyProtection="1">
      <alignment horizontal="center"/>
    </xf>
    <xf numFmtId="169" fontId="2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right" vertical="center" wrapText="1"/>
    </xf>
    <xf numFmtId="20" fontId="9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/>
    </xf>
    <xf numFmtId="20" fontId="0" fillId="0" borderId="11" xfId="0" applyNumberFormat="1" applyBorder="1"/>
    <xf numFmtId="0" fontId="6" fillId="0" borderId="11" xfId="0" applyFont="1" applyBorder="1"/>
    <xf numFmtId="173" fontId="17" fillId="0" borderId="11" xfId="0" applyNumberFormat="1" applyFont="1" applyBorder="1" applyAlignment="1">
      <alignment vertical="center"/>
    </xf>
    <xf numFmtId="20" fontId="2" fillId="2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Border="1" applyAlignment="1" applyProtection="1">
      <alignment horizontal="center"/>
    </xf>
    <xf numFmtId="169" fontId="2" fillId="0" borderId="11" xfId="0" applyNumberFormat="1" applyFont="1" applyBorder="1" applyAlignment="1">
      <alignment horizontal="center" vertical="center"/>
    </xf>
    <xf numFmtId="169" fontId="2" fillId="0" borderId="11" xfId="0" applyNumberFormat="1" applyFont="1" applyBorder="1" applyAlignment="1">
      <alignment horizontal="right" vertical="center"/>
    </xf>
    <xf numFmtId="169" fontId="2" fillId="0" borderId="11" xfId="0" applyNumberFormat="1" applyFont="1" applyBorder="1" applyAlignment="1">
      <alignment vertical="center"/>
    </xf>
    <xf numFmtId="169" fontId="2" fillId="8" borderId="11" xfId="0" applyNumberFormat="1" applyFont="1" applyFill="1" applyBorder="1" applyAlignment="1">
      <alignment vertical="center"/>
    </xf>
    <xf numFmtId="20" fontId="2" fillId="9" borderId="11" xfId="0" applyNumberFormat="1" applyFont="1" applyFill="1" applyBorder="1" applyAlignment="1">
      <alignment horizontal="right" vertical="center" wrapText="1"/>
    </xf>
    <xf numFmtId="167" fontId="0" fillId="0" borderId="0" xfId="0" applyNumberFormat="1" applyBorder="1" applyAlignment="1">
      <alignment horizontal="left" vertical="center" indent="2"/>
    </xf>
    <xf numFmtId="0" fontId="3" fillId="0" borderId="16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horizontal="center"/>
    </xf>
    <xf numFmtId="167" fontId="0" fillId="0" borderId="11" xfId="0" applyNumberFormat="1" applyBorder="1" applyAlignment="1">
      <alignment vertical="center"/>
    </xf>
    <xf numFmtId="168" fontId="0" fillId="0" borderId="11" xfId="0" applyNumberFormat="1" applyBorder="1" applyAlignment="1"/>
    <xf numFmtId="169" fontId="0" fillId="8" borderId="11" xfId="0" applyNumberFormat="1" applyFill="1" applyBorder="1" applyAlignment="1"/>
    <xf numFmtId="167" fontId="0" fillId="0" borderId="0" xfId="0" applyNumberFormat="1" applyFill="1" applyBorder="1" applyAlignment="1">
      <alignment vertical="center"/>
    </xf>
    <xf numFmtId="170" fontId="9" fillId="0" borderId="0" xfId="0" applyNumberFormat="1" applyFont="1" applyFill="1" applyBorder="1" applyAlignment="1"/>
    <xf numFmtId="169" fontId="0" fillId="0" borderId="0" xfId="0" applyNumberFormat="1" applyFill="1" applyBorder="1" applyAlignment="1"/>
    <xf numFmtId="2" fontId="0" fillId="0" borderId="11" xfId="0" applyNumberFormat="1" applyBorder="1" applyAlignment="1"/>
    <xf numFmtId="167" fontId="0" fillId="0" borderId="0" xfId="0" applyNumberFormat="1" applyBorder="1" applyAlignment="1">
      <alignment vertical="center"/>
    </xf>
    <xf numFmtId="170" fontId="0" fillId="0" borderId="0" xfId="0" applyNumberFormat="1" applyBorder="1" applyAlignment="1"/>
    <xf numFmtId="169" fontId="2" fillId="0" borderId="0" xfId="0" applyNumberFormat="1" applyFont="1" applyFill="1" applyBorder="1" applyAlignment="1">
      <alignment vertical="center"/>
    </xf>
    <xf numFmtId="170" fontId="0" fillId="0" borderId="0" xfId="0" applyNumberFormat="1" applyFill="1" applyBorder="1" applyAlignment="1"/>
    <xf numFmtId="167" fontId="9" fillId="0" borderId="11" xfId="0" applyNumberFormat="1" applyFont="1" applyBorder="1" applyAlignment="1">
      <alignment vertical="center"/>
    </xf>
    <xf numFmtId="170" fontId="9" fillId="0" borderId="0" xfId="0" applyNumberFormat="1" applyFont="1" applyBorder="1" applyAlignment="1"/>
    <xf numFmtId="0" fontId="0" fillId="0" borderId="11" xfId="0" applyBorder="1" applyAlignment="1"/>
    <xf numFmtId="167" fontId="9" fillId="0" borderId="0" xfId="0" applyNumberFormat="1" applyFont="1" applyBorder="1" applyAlignment="1">
      <alignment horizontal="left" vertical="center" indent="2"/>
    </xf>
    <xf numFmtId="0" fontId="0" fillId="0" borderId="11" xfId="0" applyBorder="1" applyAlignment="1">
      <alignment horizontal="right" vertical="center" wrapText="1"/>
    </xf>
    <xf numFmtId="167" fontId="9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0" fontId="2" fillId="2" borderId="32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20" fontId="2" fillId="2" borderId="11" xfId="0" applyNumberFormat="1" applyFont="1" applyFill="1" applyBorder="1" applyAlignment="1">
      <alignment horizontal="right" vertical="center" wrapText="1"/>
    </xf>
    <xf numFmtId="167" fontId="0" fillId="0" borderId="11" xfId="0" applyNumberFormat="1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20" fontId="2" fillId="9" borderId="35" xfId="0" applyNumberFormat="1" applyFont="1" applyFill="1" applyBorder="1" applyAlignment="1">
      <alignment horizontal="right" vertical="center" wrapText="1"/>
    </xf>
    <xf numFmtId="20" fontId="2" fillId="2" borderId="19" xfId="0" applyNumberFormat="1" applyFont="1" applyFill="1" applyBorder="1" applyAlignment="1">
      <alignment vertical="center" wrapText="1"/>
    </xf>
    <xf numFmtId="20" fontId="2" fillId="9" borderId="24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0" fontId="0" fillId="0" borderId="11" xfId="0" applyBorder="1" applyAlignment="1" applyProtection="1">
      <alignment horizontal="left"/>
      <protection locked="0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/>
    <xf numFmtId="0" fontId="4" fillId="0" borderId="20" xfId="1" applyBorder="1" applyAlignment="1" applyProtection="1">
      <alignment vertical="center"/>
      <protection hidden="1"/>
    </xf>
    <xf numFmtId="0" fontId="4" fillId="0" borderId="0" xfId="1" applyBorder="1" applyAlignment="1" applyProtection="1">
      <alignment vertical="center"/>
      <protection hidden="1"/>
    </xf>
    <xf numFmtId="0" fontId="4" fillId="0" borderId="21" xfId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4" fontId="0" fillId="0" borderId="2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21" xfId="0" applyNumberFormat="1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/>
    </xf>
    <xf numFmtId="164" fontId="0" fillId="0" borderId="23" xfId="0" applyNumberFormat="1" applyFont="1" applyBorder="1" applyAlignment="1">
      <alignment horizontal="left" vertical="center"/>
    </xf>
    <xf numFmtId="164" fontId="0" fillId="0" borderId="24" xfId="0" applyNumberFormat="1" applyFont="1" applyBorder="1" applyAlignment="1">
      <alignment horizontal="left" vertic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65" fontId="7" fillId="4" borderId="11" xfId="0" applyNumberFormat="1" applyFont="1" applyFill="1" applyBorder="1" applyAlignment="1" applyProtection="1">
      <alignment horizontal="center" vertical="center"/>
      <protection locked="0"/>
    </xf>
    <xf numFmtId="178" fontId="12" fillId="0" borderId="11" xfId="0" applyNumberFormat="1" applyFont="1" applyBorder="1" applyAlignment="1">
      <alignment horizontal="left" vertical="center"/>
    </xf>
    <xf numFmtId="166" fontId="12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5" borderId="11" xfId="0" applyFont="1" applyFill="1" applyBorder="1" applyAlignment="1">
      <alignment vertical="center" wrapText="1"/>
    </xf>
    <xf numFmtId="168" fontId="0" fillId="2" borderId="11" xfId="0" applyNumberFormat="1" applyFill="1" applyBorder="1" applyAlignment="1" applyProtection="1">
      <alignment horizontal="center" vertical="center"/>
      <protection locked="0"/>
    </xf>
    <xf numFmtId="168" fontId="11" fillId="2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9" fontId="2" fillId="0" borderId="0" xfId="0" applyNumberFormat="1" applyFont="1" applyBorder="1" applyAlignment="1">
      <alignment vertical="center"/>
    </xf>
    <xf numFmtId="168" fontId="0" fillId="0" borderId="11" xfId="0" applyNumberFormat="1" applyBorder="1" applyAlignment="1" applyProtection="1">
      <alignment horizontal="center" vertical="center"/>
      <protection locked="0"/>
    </xf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0" fontId="10" fillId="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21" fontId="0" fillId="0" borderId="11" xfId="0" applyNumberFormat="1" applyBorder="1" applyAlignment="1">
      <alignment vertical="center"/>
    </xf>
    <xf numFmtId="0" fontId="3" fillId="5" borderId="7" xfId="0" applyFont="1" applyFill="1" applyBorder="1" applyAlignment="1">
      <alignment horizontal="center" vertical="center"/>
    </xf>
    <xf numFmtId="20" fontId="0" fillId="0" borderId="11" xfId="0" applyNumberFormat="1" applyBorder="1" applyAlignment="1">
      <alignment vertical="center"/>
    </xf>
    <xf numFmtId="0" fontId="14" fillId="5" borderId="8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left"/>
    </xf>
    <xf numFmtId="0" fontId="7" fillId="0" borderId="11" xfId="0" applyFont="1" applyBorder="1" applyAlignment="1">
      <alignment horizontal="center" vertical="center"/>
    </xf>
    <xf numFmtId="168" fontId="0" fillId="2" borderId="0" xfId="0" applyNumberFormat="1" applyFill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21" fontId="0" fillId="0" borderId="36" xfId="0" applyNumberFormat="1" applyBorder="1" applyAlignment="1">
      <alignment horizontal="center" vertical="center"/>
    </xf>
    <xf numFmtId="21" fontId="0" fillId="0" borderId="34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0" fillId="0" borderId="3" xfId="0" applyBorder="1" applyAlignment="1" applyProtection="1">
      <alignment horizontal="left"/>
    </xf>
    <xf numFmtId="0" fontId="3" fillId="0" borderId="0" xfId="0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21" fontId="0" fillId="0" borderId="18" xfId="0" applyNumberFormat="1" applyBorder="1" applyAlignment="1">
      <alignment horizontal="center" vertical="center"/>
    </xf>
    <xf numFmtId="21" fontId="0" fillId="0" borderId="2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1" fontId="0" fillId="0" borderId="11" xfId="0" applyNumberForma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0" fillId="0" borderId="0" xfId="0"/>
    <xf numFmtId="0" fontId="0" fillId="7" borderId="1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</cellXfs>
  <cellStyles count="6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  <cellStyle name="Texte explicatif" xfId="2" builtinId="53" customBuiltin="1"/>
  </cellStyles>
  <dxfs count="63"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99CC66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sz val="10"/>
        <color rgb="FFFFFFFF"/>
        <name val="Arial"/>
      </font>
      <fill>
        <patternFill>
          <bgColor rgb="FFFFFFFF"/>
        </patternFill>
      </fill>
      <protection locked="1" hidden="1"/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008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sz val="10"/>
        <color rgb="FFFFFFFF"/>
        <name val="Arial"/>
      </font>
      <fill>
        <patternFill>
          <bgColor rgb="FFFF0000"/>
        </patternFill>
      </fill>
      <alignment horizontal="right" vertical="center" textRotation="0" wrapText="0" indent="0" shrinkToFit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3333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528120</xdr:colOff>
      <xdr:row>1</xdr:row>
      <xdr:rowOff>26233</xdr:rowOff>
    </xdr:from>
    <xdr:to>
      <xdr:col>18</xdr:col>
      <xdr:colOff>234500</xdr:colOff>
      <xdr:row>5</xdr:row>
      <xdr:rowOff>3947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4520" y="216733"/>
          <a:ext cx="544580" cy="72701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526320</xdr:colOff>
      <xdr:row>1</xdr:row>
      <xdr:rowOff>73273</xdr:rowOff>
    </xdr:from>
    <xdr:to>
      <xdr:col>18</xdr:col>
      <xdr:colOff>232340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490320</xdr:colOff>
      <xdr:row>1</xdr:row>
      <xdr:rowOff>73273</xdr:rowOff>
    </xdr:from>
    <xdr:to>
      <xdr:col>18</xdr:col>
      <xdr:colOff>196340</xdr:colOff>
      <xdr:row>5</xdr:row>
      <xdr:rowOff>50506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9920" y="263773"/>
          <a:ext cx="544220" cy="72653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egifrance.gouv.fr/affichTexte.do?cidTexte=JORFTEXT000029390985&amp;dateTexte=&amp;categorieLien=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nu56@snuipp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8576"/>
  <sheetViews>
    <sheetView showGridLines="0" tabSelected="1" workbookViewId="0">
      <selection activeCell="A6" sqref="A6:C6"/>
    </sheetView>
  </sheetViews>
  <sheetFormatPr baseColWidth="10" defaultColWidth="8.85546875" defaultRowHeight="12.75" x14ac:dyDescent="0.2"/>
  <cols>
    <col min="1" max="1" width="5.85546875" customWidth="1"/>
    <col min="3" max="3" width="8.85546875" customWidth="1"/>
    <col min="4" max="4" width="5.42578125" bestFit="1" customWidth="1"/>
    <col min="7" max="7" width="5.42578125" bestFit="1" customWidth="1"/>
    <col min="8" max="9" width="7.28515625" customWidth="1"/>
    <col min="10" max="10" width="5.42578125" bestFit="1" customWidth="1"/>
    <col min="12" max="12" width="9" customWidth="1"/>
    <col min="13" max="13" width="5.42578125" bestFit="1" customWidth="1"/>
    <col min="16" max="16" width="8.85546875" style="1"/>
    <col min="17" max="17" width="11" bestFit="1" customWidth="1"/>
    <col min="18" max="18" width="0" hidden="1"/>
    <col min="19" max="19" width="8.85546875" style="2"/>
    <col min="23" max="23" width="9.7109375" customWidth="1"/>
  </cols>
  <sheetData>
    <row r="1" spans="1:23" ht="15" customHeight="1" x14ac:dyDescent="0.2">
      <c r="A1" s="192" t="s">
        <v>0</v>
      </c>
      <c r="B1" s="192"/>
      <c r="C1" s="192"/>
      <c r="D1" s="193"/>
      <c r="E1" s="193"/>
      <c r="F1" s="193"/>
      <c r="G1" s="193"/>
      <c r="H1" s="193"/>
      <c r="I1" s="193"/>
      <c r="J1" s="193"/>
      <c r="K1" s="193"/>
      <c r="M1" s="194" t="str">
        <f>Gestion!AC2</f>
        <v>SNUipp-FSU 56</v>
      </c>
      <c r="N1" s="195"/>
      <c r="O1" s="196"/>
      <c r="Q1" s="197"/>
      <c r="R1" s="197"/>
      <c r="S1" s="197"/>
    </row>
    <row r="2" spans="1:23" ht="15" customHeight="1" x14ac:dyDescent="0.2">
      <c r="A2" s="192" t="s">
        <v>1</v>
      </c>
      <c r="B2" s="192"/>
      <c r="C2" s="192"/>
      <c r="D2" s="193"/>
      <c r="E2" s="193"/>
      <c r="F2" s="193"/>
      <c r="G2" s="193"/>
      <c r="H2" s="193"/>
      <c r="I2" s="193"/>
      <c r="J2" s="193"/>
      <c r="K2" s="193"/>
      <c r="M2" s="198" t="str">
        <f>HYPERLINK("mailto:"&amp;Gestion!AC3,Gestion!AC3)</f>
        <v>snu56@snuipp.fr</v>
      </c>
      <c r="N2" s="199"/>
      <c r="O2" s="200"/>
      <c r="Q2" s="197"/>
      <c r="R2" s="197"/>
      <c r="S2" s="197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193"/>
      <c r="E3" s="193"/>
      <c r="F3" s="193"/>
      <c r="G3" s="193"/>
      <c r="H3" s="193"/>
      <c r="I3" s="193"/>
      <c r="J3" s="193"/>
      <c r="K3" s="193"/>
      <c r="M3" s="202" t="str">
        <f>Gestion!AC4</f>
        <v>02 97 21 03 41</v>
      </c>
      <c r="N3" s="203"/>
      <c r="O3" s="204"/>
      <c r="Q3" s="197"/>
      <c r="R3" s="197"/>
      <c r="S3" s="197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193"/>
      <c r="E4" s="193"/>
      <c r="F4" s="193"/>
      <c r="G4" s="193"/>
      <c r="H4" s="193"/>
      <c r="I4" s="193"/>
      <c r="J4" s="193"/>
      <c r="K4" s="193"/>
      <c r="M4" s="205" t="str">
        <f>IF(ISBLANK(Gestion!AC5),"",Gestion!AC5)</f>
        <v/>
      </c>
      <c r="N4" s="206"/>
      <c r="O4" s="207"/>
      <c r="Q4" s="197"/>
      <c r="R4" s="197"/>
      <c r="S4" s="197"/>
      <c r="U4" s="201"/>
      <c r="V4" s="201"/>
      <c r="W4" s="201"/>
    </row>
    <row r="5" spans="1:23" s="6" customFormat="1" ht="14.25" customHeight="1" x14ac:dyDescent="0.2">
      <c r="A5" s="3" t="s">
        <v>4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Q5" s="197"/>
      <c r="R5" s="197"/>
      <c r="S5" s="197"/>
      <c r="U5" s="201"/>
      <c r="V5" s="201"/>
      <c r="W5" s="201"/>
    </row>
    <row r="6" spans="1:23" ht="21" customHeight="1" x14ac:dyDescent="0.3">
      <c r="A6" s="208" t="s">
        <v>34</v>
      </c>
      <c r="B6" s="208"/>
      <c r="C6" s="208"/>
      <c r="D6" s="209" t="s">
        <v>36</v>
      </c>
      <c r="E6" s="209"/>
      <c r="F6" s="209"/>
      <c r="G6" s="118" t="s">
        <v>7</v>
      </c>
      <c r="H6" s="210">
        <f>Gestion!B5</f>
        <v>42613</v>
      </c>
      <c r="I6" s="210"/>
      <c r="J6" s="118" t="s">
        <v>8</v>
      </c>
      <c r="K6" s="211">
        <f>IF(WEEKDAY(Gestion!B7)=7,Gestion!B7-1,Gestion!B7)</f>
        <v>42662</v>
      </c>
      <c r="L6" s="211"/>
      <c r="M6" s="212" t="str">
        <f>(COUNT(A8:A30)+COUNT(D8:D30)+COUNT(G8:G30)+COUNT(J8:J30)+COUNT(M8:M30))/5&amp;" semaines"</f>
        <v>7,2 semaines</v>
      </c>
      <c r="N6" s="212"/>
      <c r="O6" s="212"/>
      <c r="P6" s="155"/>
      <c r="Q6" s="9"/>
      <c r="R6" s="10">
        <v>1</v>
      </c>
      <c r="S6" s="11"/>
      <c r="U6" s="201"/>
      <c r="V6" s="201"/>
      <c r="W6" s="201"/>
    </row>
    <row r="7" spans="1:23" s="12" customFormat="1" ht="48.95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62" t="s">
        <v>14</v>
      </c>
      <c r="R7" s="162"/>
      <c r="S7" s="162" t="s">
        <v>15</v>
      </c>
    </row>
    <row r="8" spans="1:23" ht="13.35" customHeight="1" x14ac:dyDescent="0.2">
      <c r="A8" s="214" t="str">
        <f>IF(WEEKDAY(Gestion!B5)=2,Gestion!B5,"")</f>
        <v/>
      </c>
      <c r="B8" s="215" t="s">
        <v>16</v>
      </c>
      <c r="C8" s="215"/>
      <c r="D8" s="216" t="str">
        <f>IF(AND(COUNT(A8)=0,WEEKDAY(Gestion!B5)&lt;&gt;3),"",IF(WEEKDAY(Gestion!B5)=3,Gestion!B5,A8+1))</f>
        <v/>
      </c>
      <c r="E8" s="215" t="s">
        <v>16</v>
      </c>
      <c r="F8" s="215"/>
      <c r="G8" s="214">
        <f>IF(AND(COUNT(D8)=0,WEEKDAY(Gestion!B5)&lt;&gt;4),"",IF(WEEKDAY(Gestion!B5)=4,Gestion!B5,D8+1))</f>
        <v>42613</v>
      </c>
      <c r="H8" s="215" t="s">
        <v>16</v>
      </c>
      <c r="I8" s="215"/>
      <c r="J8" s="214">
        <f>IF(AND(COUNT(G8)=0,WEEKDAY(Gestion!B5)&lt;&gt;5),"",IF(WEEKDAY(Gestion!B5)=5,Gestion!B5,G8+1))</f>
        <v>42614</v>
      </c>
      <c r="K8" s="215" t="s">
        <v>16</v>
      </c>
      <c r="L8" s="215"/>
      <c r="M8" s="214">
        <f>IF(AND(COUNT(J8)=0,WEEKDAY(Gestion!E5)&lt;&gt;5),"",IF(WEEKDAY(Gestion!E5)=5,Gestion!E5,J8+1))</f>
        <v>42615</v>
      </c>
      <c r="N8" s="215" t="s">
        <v>16</v>
      </c>
      <c r="O8" s="215"/>
      <c r="P8" s="52"/>
      <c r="Q8" s="164">
        <f>(IF(ISNUMBER(B9),B9,0)+IF(ISNUMBER(E9),E9,0)+IF(ISNUMBER(J9),J9,0)+IF(ISNUMBER(H9),H9,0)+IF(ISNUMBER(K9),K9,0)+IF(ISNUMBER(N9),N9,0))</f>
        <v>0</v>
      </c>
      <c r="R8" s="165"/>
      <c r="S8" s="16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">
        <v>77</v>
      </c>
      <c r="V8" s="218"/>
      <c r="W8" s="218"/>
    </row>
    <row r="9" spans="1:23" ht="13.35" customHeight="1" x14ac:dyDescent="0.2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53"/>
      <c r="Q9" s="167"/>
      <c r="R9" s="168">
        <f>IF(AND(Q8&gt;0,COUNT(A8,D8,G8,J8,M8)&lt;5),0,IF(AND(ISNUMBER(Q8),Q8&gt;0),Q8-R$6,0))</f>
        <v>0</v>
      </c>
      <c r="S9" s="169"/>
      <c r="T9" s="217"/>
      <c r="U9" s="218"/>
      <c r="V9" s="218"/>
      <c r="W9" s="218"/>
    </row>
    <row r="10" spans="1:23" ht="13.35" customHeight="1" x14ac:dyDescent="0.2">
      <c r="A10" s="214">
        <f>M8+3</f>
        <v>42618</v>
      </c>
      <c r="B10" s="215" t="s">
        <v>16</v>
      </c>
      <c r="C10" s="215"/>
      <c r="D10" s="214">
        <f>A10+1</f>
        <v>42619</v>
      </c>
      <c r="E10" s="215" t="s">
        <v>16</v>
      </c>
      <c r="F10" s="215"/>
      <c r="G10" s="214">
        <f>D10+1</f>
        <v>42620</v>
      </c>
      <c r="H10" s="215" t="s">
        <v>16</v>
      </c>
      <c r="I10" s="215"/>
      <c r="J10" s="214">
        <f>G10+1</f>
        <v>42621</v>
      </c>
      <c r="K10" s="215" t="s">
        <v>16</v>
      </c>
      <c r="L10" s="215"/>
      <c r="M10" s="214">
        <f>J10+1</f>
        <v>42622</v>
      </c>
      <c r="N10" s="215" t="s">
        <v>16</v>
      </c>
      <c r="O10" s="215"/>
      <c r="P10" s="52"/>
      <c r="Q10" s="164">
        <f>(IF(ISNUMBER(B11),B11,0)+IF(ISNUMBER(E11),E11,0)+IF(ISNUMBER(J11),J11,0)+IF(ISNUMBER(H11),H11,0)+IF(ISNUMBER(K11),K11,0)+IF(ISNUMBER(N11),N11,0))</f>
        <v>0</v>
      </c>
      <c r="R10" s="170"/>
      <c r="S10" s="159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1"/>
      <c r="R11" s="172">
        <f>IF(Q10&gt;0,Q10-R$6,0)</f>
        <v>0</v>
      </c>
      <c r="S11" s="173"/>
      <c r="T11" s="217"/>
      <c r="U11" s="218"/>
      <c r="V11" s="218"/>
      <c r="W11" s="218"/>
    </row>
    <row r="12" spans="1:23" ht="13.35" customHeight="1" x14ac:dyDescent="0.2">
      <c r="A12" s="214">
        <f>M10+3</f>
        <v>42625</v>
      </c>
      <c r="B12" s="215" t="s">
        <v>16</v>
      </c>
      <c r="C12" s="215"/>
      <c r="D12" s="214">
        <f>A12+1</f>
        <v>42626</v>
      </c>
      <c r="E12" s="215" t="s">
        <v>16</v>
      </c>
      <c r="F12" s="215"/>
      <c r="G12" s="214">
        <f>D12+1</f>
        <v>42627</v>
      </c>
      <c r="H12" s="215" t="s">
        <v>16</v>
      </c>
      <c r="I12" s="215"/>
      <c r="J12" s="214">
        <f>G12+1</f>
        <v>42628</v>
      </c>
      <c r="K12" s="215" t="s">
        <v>16</v>
      </c>
      <c r="L12" s="215"/>
      <c r="M12" s="214">
        <f>J12+1</f>
        <v>42629</v>
      </c>
      <c r="N12" s="215" t="s">
        <v>16</v>
      </c>
      <c r="O12" s="215"/>
      <c r="P12" s="52"/>
      <c r="Q12" s="164">
        <f>(IF(ISNUMBER(B13),B13,0)+IF(ISNUMBER(E13),E13,0)+IF(ISNUMBER(J13),J13,0)+IF(ISNUMBER(H13),H13,0)+IF(ISNUMBER(K13),K13,0)+IF(ISNUMBER(N13),N13,0))</f>
        <v>0</v>
      </c>
      <c r="R12" s="170"/>
      <c r="S12" s="159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67"/>
      <c r="R13" s="174">
        <f>IF(Q12&gt;0,Q12-R$6,0)</f>
        <v>0</v>
      </c>
      <c r="S13" s="169"/>
      <c r="T13" s="217"/>
      <c r="U13" s="218"/>
      <c r="V13" s="218"/>
      <c r="W13" s="218"/>
    </row>
    <row r="14" spans="1:23" ht="13.35" customHeight="1" x14ac:dyDescent="0.2">
      <c r="A14" s="214">
        <f>M12+3</f>
        <v>42632</v>
      </c>
      <c r="B14" s="215" t="s">
        <v>16</v>
      </c>
      <c r="C14" s="215"/>
      <c r="D14" s="214">
        <f>A14+1</f>
        <v>42633</v>
      </c>
      <c r="E14" s="215" t="s">
        <v>16</v>
      </c>
      <c r="F14" s="215"/>
      <c r="G14" s="214">
        <f>D14+1</f>
        <v>42634</v>
      </c>
      <c r="H14" s="215" t="s">
        <v>16</v>
      </c>
      <c r="I14" s="215"/>
      <c r="J14" s="214">
        <f>G14+1</f>
        <v>42635</v>
      </c>
      <c r="K14" s="215" t="s">
        <v>16</v>
      </c>
      <c r="L14" s="215"/>
      <c r="M14" s="214">
        <f>J14+1</f>
        <v>42636</v>
      </c>
      <c r="N14" s="215" t="s">
        <v>16</v>
      </c>
      <c r="O14" s="215"/>
      <c r="P14" s="52"/>
      <c r="Q14" s="164">
        <f>(IF(ISNUMBER(B15),B15,0)+IF(ISNUMBER(E15),E15,0)+IF(ISNUMBER(J15),J15,0)+IF(ISNUMBER(H15),H15,0)+IF(ISNUMBER(K15),K15,0)+IF(ISNUMBER(N15),N15,0))</f>
        <v>0</v>
      </c>
      <c r="R14" s="170"/>
      <c r="S14" s="159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67"/>
      <c r="R15" s="174">
        <f>IF(Q14&gt;0,Q14-R$6,0)</f>
        <v>0</v>
      </c>
      <c r="S15" s="173"/>
      <c r="T15" s="217"/>
      <c r="U15" s="218"/>
      <c r="V15" s="218"/>
      <c r="W15" s="218"/>
    </row>
    <row r="16" spans="1:23" ht="13.35" customHeight="1" x14ac:dyDescent="0.2">
      <c r="A16" s="214">
        <f>M14+3</f>
        <v>42639</v>
      </c>
      <c r="B16" s="215" t="s">
        <v>16</v>
      </c>
      <c r="C16" s="215"/>
      <c r="D16" s="214">
        <f>A16+1</f>
        <v>42640</v>
      </c>
      <c r="E16" s="215" t="s">
        <v>16</v>
      </c>
      <c r="F16" s="215"/>
      <c r="G16" s="214">
        <f>D16+1</f>
        <v>42641</v>
      </c>
      <c r="H16" s="215" t="s">
        <v>16</v>
      </c>
      <c r="I16" s="215"/>
      <c r="J16" s="214">
        <f>G16+1</f>
        <v>42642</v>
      </c>
      <c r="K16" s="215" t="s">
        <v>16</v>
      </c>
      <c r="L16" s="215"/>
      <c r="M16" s="214">
        <f>J16+1</f>
        <v>42643</v>
      </c>
      <c r="N16" s="215" t="s">
        <v>16</v>
      </c>
      <c r="O16" s="215"/>
      <c r="P16" s="52"/>
      <c r="Q16" s="164">
        <f>(IF(ISNUMBER(B17),B17,0)+IF(ISNUMBER(E17),E17,0)+IF(ISNUMBER(J17),J17,0)+IF(ISNUMBER(H17),H17,0)+IF(ISNUMBER(K17),K17,0)+IF(ISNUMBER(N17),N17,0))</f>
        <v>0</v>
      </c>
      <c r="R16" s="170"/>
      <c r="S16" s="159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20"/>
      <c r="L17" s="220"/>
      <c r="M17" s="214"/>
      <c r="N17" s="219"/>
      <c r="O17" s="219"/>
      <c r="P17" s="53"/>
      <c r="Q17" s="171"/>
      <c r="R17" s="172">
        <f>IF(Q16&gt;0,Q16-R$6,0)</f>
        <v>0</v>
      </c>
      <c r="S17" s="169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42646</v>
      </c>
      <c r="B18" s="221" t="s">
        <v>16</v>
      </c>
      <c r="C18" s="221"/>
      <c r="D18" s="214">
        <f>IF(ISNUMBER(A18),IF(A18+1&lt;=$K$6,A18+1,""),"")</f>
        <v>42647</v>
      </c>
      <c r="E18" s="215" t="s">
        <v>16</v>
      </c>
      <c r="F18" s="215"/>
      <c r="G18" s="214">
        <f>IF(ISNUMBER(D18),IF(D18+1&lt;=$K$6,D18+1,""),"")</f>
        <v>42648</v>
      </c>
      <c r="H18" s="215" t="s">
        <v>16</v>
      </c>
      <c r="I18" s="215"/>
      <c r="J18" s="214">
        <f>IF(ISNUMBER(G18),IF(G18+1&lt;=$K$6,G18+1,""),"")</f>
        <v>42649</v>
      </c>
      <c r="K18" s="215" t="s">
        <v>16</v>
      </c>
      <c r="L18" s="215"/>
      <c r="M18" s="214">
        <f>IF(ISNUMBER(J18),IF(J18+1&lt;=$K$6,J18+1,""),"")</f>
        <v>42650</v>
      </c>
      <c r="N18" s="215" t="s">
        <v>16</v>
      </c>
      <c r="O18" s="215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70"/>
      <c r="S18" s="159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2" t="str">
        <f t="shared" si="0"/>
        <v/>
      </c>
      <c r="R19" s="176">
        <f>IF(AND(COUNT(A18,D18,G18,J18,M18)=0,COUNT(B19,E19,H19,K19,N19)=0),"",IF(AND(Q18&gt;0,COUNT(A18,D18,G18,J18,M18)&lt;5),0,IF(AND(ISNUMBER(Q18),Q18&gt;0),Q18-R$6,0)))</f>
        <v>0</v>
      </c>
      <c r="S19" s="169"/>
      <c r="T19" s="217"/>
      <c r="U19" s="218"/>
      <c r="V19" s="218"/>
      <c r="W19" s="218"/>
    </row>
    <row r="20" spans="1:23" ht="13.35" customHeight="1" x14ac:dyDescent="0.2">
      <c r="A20" s="214">
        <f>IF(ISNUMBER(M18),IF(M18+3&gt;$K$6,"",M18+3),"")</f>
        <v>42653</v>
      </c>
      <c r="B20" s="222" t="s">
        <v>16</v>
      </c>
      <c r="C20" s="222"/>
      <c r="D20" s="214">
        <f t="shared" ref="D20:D31" si="1">IF(ISNUMBER(A20),IF(A20+1&lt;=$K$6,A20+1,""),"")</f>
        <v>42654</v>
      </c>
      <c r="E20" s="222" t="s">
        <v>16</v>
      </c>
      <c r="F20" s="222"/>
      <c r="G20" s="214">
        <f t="shared" ref="G20:G31" si="2">IF(ISNUMBER(D20),IF(D20+1&lt;=$K$6,D20+1,""),"")</f>
        <v>42655</v>
      </c>
      <c r="H20" s="222" t="s">
        <v>16</v>
      </c>
      <c r="I20" s="222"/>
      <c r="J20" s="214">
        <f t="shared" ref="J20:J31" si="3">IF(ISNUMBER(G20),IF(G20+1&lt;=$K$6,G20+1,""),"")</f>
        <v>42656</v>
      </c>
      <c r="K20" s="222" t="s">
        <v>16</v>
      </c>
      <c r="L20" s="222"/>
      <c r="M20" s="214">
        <f t="shared" ref="M20:M31" si="4">IF(ISNUMBER(J20),IF(J20+1&lt;=$K$6,J20+1,""),"")</f>
        <v>42657</v>
      </c>
      <c r="N20" s="222" t="s">
        <v>16</v>
      </c>
      <c r="O20" s="222"/>
      <c r="P20" s="52"/>
      <c r="Q20" s="175">
        <f t="shared" si="0"/>
        <v>0</v>
      </c>
      <c r="R20" s="177"/>
      <c r="S20" s="159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20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163"/>
      <c r="T21" s="217"/>
      <c r="U21" s="218"/>
      <c r="V21" s="218"/>
      <c r="W21" s="218"/>
    </row>
    <row r="22" spans="1:23" ht="13.35" customHeight="1" x14ac:dyDescent="0.2">
      <c r="A22" s="214">
        <f>IF(ISNUMBER(M20),IF(M20+3&gt;$K$6,"",M20+3),"")</f>
        <v>42660</v>
      </c>
      <c r="B22" s="222" t="s">
        <v>16</v>
      </c>
      <c r="C22" s="222"/>
      <c r="D22" s="214">
        <f t="shared" si="1"/>
        <v>42661</v>
      </c>
      <c r="E22" s="222" t="s">
        <v>16</v>
      </c>
      <c r="F22" s="222"/>
      <c r="G22" s="214">
        <f t="shared" si="2"/>
        <v>42662</v>
      </c>
      <c r="H22" s="222" t="s">
        <v>16</v>
      </c>
      <c r="I22" s="222"/>
      <c r="J22" s="214" t="str">
        <f t="shared" si="3"/>
        <v/>
      </c>
      <c r="K22" s="222" t="s">
        <v>16</v>
      </c>
      <c r="L22" s="222"/>
      <c r="M22" s="214" t="str">
        <f t="shared" si="4"/>
        <v/>
      </c>
      <c r="N22" s="222" t="s">
        <v>16</v>
      </c>
      <c r="O22" s="222"/>
      <c r="P22" s="52"/>
      <c r="Q22" s="20">
        <f t="shared" si="0"/>
        <v>0</v>
      </c>
      <c r="R22" s="61"/>
      <c r="S22" s="223">
        <f>IF(ISNUMBER(Q22),IF(R23=0,0,IF(R23&gt;0,"+ "&amp;TEXT(R23,"[hh]:mm"),"- "&amp;TEXT(ABS(R23),"[hh]:mm"))),"")</f>
        <v>0</v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24"/>
      <c r="L23" s="224"/>
      <c r="M23" s="214" t="str">
        <f t="shared" si="4"/>
        <v/>
      </c>
      <c r="N23" s="224"/>
      <c r="O23" s="224"/>
      <c r="P23" s="53"/>
      <c r="Q23" s="20" t="str">
        <f t="shared" si="0"/>
        <v/>
      </c>
      <c r="R23" s="17">
        <f>IF(AND(COUNT(A22,D22,G22,J22,M22)=0,COUNT(B23,E23,H23,K23,N23)=0),"",IF(AND(Q22&gt;0,COUNT(A22,D22,G22,J22,M22)&lt;5),0,IF(AND(ISNUMBER(Q22),Q22&gt;0),Q22-R$6,0)))</f>
        <v>0</v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22" t="s">
        <v>16</v>
      </c>
      <c r="C24" s="222"/>
      <c r="D24" s="214" t="str">
        <f t="shared" si="1"/>
        <v/>
      </c>
      <c r="E24" s="222" t="s">
        <v>16</v>
      </c>
      <c r="F24" s="222"/>
      <c r="G24" s="214" t="str">
        <f t="shared" si="2"/>
        <v/>
      </c>
      <c r="H24" s="222" t="s">
        <v>16</v>
      </c>
      <c r="I24" s="222"/>
      <c r="J24" s="214" t="str">
        <f t="shared" si="3"/>
        <v/>
      </c>
      <c r="K24" s="222" t="s">
        <v>16</v>
      </c>
      <c r="L24" s="222"/>
      <c r="M24" s="214" t="str">
        <f t="shared" si="4"/>
        <v/>
      </c>
      <c r="N24" s="222" t="s">
        <v>16</v>
      </c>
      <c r="O24" s="222"/>
      <c r="P24" s="52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35" customHeight="1" x14ac:dyDescent="0.2">
      <c r="A26" s="214" t="str">
        <f>IF(ISNUMBER(M24),IF(M24+3&gt;$K$6,"",M24+3),"")</f>
        <v/>
      </c>
      <c r="B26" s="222" t="s">
        <v>16</v>
      </c>
      <c r="C26" s="222"/>
      <c r="D26" s="214" t="str">
        <f t="shared" si="1"/>
        <v/>
      </c>
      <c r="E26" s="222" t="s">
        <v>16</v>
      </c>
      <c r="F26" s="222"/>
      <c r="G26" s="214" t="str">
        <f t="shared" si="2"/>
        <v/>
      </c>
      <c r="H26" s="222" t="s">
        <v>16</v>
      </c>
      <c r="I26" s="222"/>
      <c r="J26" s="214" t="str">
        <f t="shared" si="3"/>
        <v/>
      </c>
      <c r="K26" s="222" t="s">
        <v>16</v>
      </c>
      <c r="L26" s="222"/>
      <c r="M26" s="214" t="str">
        <f t="shared" si="4"/>
        <v/>
      </c>
      <c r="N26" s="222" t="s">
        <v>16</v>
      </c>
      <c r="O26" s="222"/>
      <c r="P26" s="52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35" customHeight="1" x14ac:dyDescent="0.2">
      <c r="A28" s="214" t="str">
        <f>IF(ISNUMBER(M26),IF(M26+3&gt;$K$6,"",M26+3),"")</f>
        <v/>
      </c>
      <c r="B28" s="222" t="s">
        <v>16</v>
      </c>
      <c r="C28" s="222"/>
      <c r="D28" s="214" t="str">
        <f t="shared" si="1"/>
        <v/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P32" s="7"/>
      <c r="S32" s="23"/>
    </row>
    <row r="33" spans="1:19" ht="56.85" customHeight="1" x14ac:dyDescent="0.2">
      <c r="A33" s="227" t="s">
        <v>17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4"/>
      <c r="Q33" s="148" t="s">
        <v>18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s="6" customFormat="1" ht="12.95" customHeight="1" x14ac:dyDescent="0.2">
      <c r="P34" s="7"/>
      <c r="S34" s="23"/>
    </row>
    <row r="35" spans="1:19" ht="39.75" customHeight="1" x14ac:dyDescent="0.2">
      <c r="A35" s="228"/>
      <c r="B35" s="228"/>
      <c r="C35" s="228"/>
      <c r="D35" s="228"/>
      <c r="E35" s="26"/>
      <c r="F35" s="27"/>
      <c r="G35" s="28"/>
      <c r="H35" s="29"/>
      <c r="I35" s="27"/>
      <c r="J35" s="30"/>
      <c r="K35" s="31"/>
      <c r="L35" s="27"/>
      <c r="M35" s="30"/>
      <c r="N35" s="31"/>
      <c r="O35" s="30"/>
      <c r="P35" s="32"/>
      <c r="Q35" s="33"/>
      <c r="R35" s="34"/>
      <c r="S35" s="18"/>
    </row>
    <row r="36" spans="1:19" ht="13.35" customHeight="1" x14ac:dyDescent="0.2">
      <c r="A36" s="147" t="s">
        <v>19</v>
      </c>
      <c r="B36" s="122"/>
      <c r="C36" s="122"/>
    </row>
    <row r="37" spans="1:19" ht="14.25" customHeight="1" x14ac:dyDescent="0.2">
      <c r="A37" s="229" t="s">
        <v>20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30" t="s">
        <v>23</v>
      </c>
      <c r="R37" s="231">
        <f>SUM(F38,I38,L38,O38)</f>
        <v>0</v>
      </c>
      <c r="S37" s="179" t="str">
        <f>IF(R33=0,"Pas d'heures à récupérer",IF(R37&gt;R33,"Vous tentez de récupérer trop d'heures...",TEXT(R37,"[hh]:mm")))</f>
        <v>Pas d'heures à récupérer</v>
      </c>
    </row>
    <row r="38" spans="1:19" ht="42.6" customHeight="1" x14ac:dyDescent="0.2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30"/>
      <c r="R38" s="231"/>
      <c r="S38" s="179"/>
    </row>
    <row r="39" spans="1:19" s="6" customFormat="1" ht="12.95" customHeight="1" x14ac:dyDescent="0.2">
      <c r="C39" s="23"/>
      <c r="P39" s="7"/>
      <c r="Q39" s="37"/>
      <c r="R39" s="38"/>
      <c r="S39" s="23"/>
    </row>
    <row r="40" spans="1:19" ht="19.7" customHeight="1" x14ac:dyDescent="0.2">
      <c r="A40" s="232" t="s">
        <v>24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">
        <v>25</v>
      </c>
      <c r="R40" s="233">
        <f>R33-R37</f>
        <v>0</v>
      </c>
      <c r="S40" s="154">
        <f>IF(R40&gt;=0,R33-R37,"Erreur de récupération")</f>
        <v>0</v>
      </c>
    </row>
    <row r="41" spans="1:19" s="6" customFormat="1" ht="19.7" customHeight="1" x14ac:dyDescent="0.2">
      <c r="A41" s="234" t="s">
        <v>26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30"/>
      <c r="R41" s="233"/>
      <c r="S41" s="160"/>
    </row>
    <row r="42" spans="1:19" ht="13.35" customHeight="1" x14ac:dyDescent="0.2"/>
    <row r="43" spans="1:19" ht="13.35" customHeight="1" x14ac:dyDescent="0.2"/>
    <row r="1048576" ht="12.75" customHeight="1" x14ac:dyDescent="0.2"/>
  </sheetData>
  <sheetProtection password="DC15" sheet="1" objects="1" scenarios="1"/>
  <mergeCells count="235">
    <mergeCell ref="A33:O33"/>
    <mergeCell ref="A35:D35"/>
    <mergeCell ref="A37:C38"/>
    <mergeCell ref="Q37:Q38"/>
    <mergeCell ref="R37:R38"/>
    <mergeCell ref="A40:O40"/>
    <mergeCell ref="Q40:Q41"/>
    <mergeCell ref="R40:R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Q1:S5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33">
    <cfRule type="expression" dxfId="62" priority="5">
      <formula>IF(R33&gt;0,1,0)</formula>
    </cfRule>
    <cfRule type="expression" dxfId="61" priority="6">
      <formula>IF(R33&lt;=0,1,0)</formula>
    </cfRule>
  </conditionalFormatting>
  <conditionalFormatting sqref="S37:S38">
    <cfRule type="expression" dxfId="60" priority="7">
      <formula>IF(R37&gt;R33,1,0)</formula>
    </cfRule>
    <cfRule type="expression" dxfId="59" priority="8">
      <formula>IF(R37&lt;=R33,1,0)</formula>
    </cfRule>
  </conditionalFormatting>
  <conditionalFormatting sqref="S40">
    <cfRule type="expression" dxfId="58" priority="9">
      <formula>IF(R40&lt;&gt;0,1,0)</formula>
    </cfRule>
    <cfRule type="expression" dxfId="57" priority="10">
      <formula>IF(R40=0,1,0)</formula>
    </cfRule>
  </conditionalFormatting>
  <conditionalFormatting sqref="A18:Q18 A20:Q20 A19 D19 A22:Q22 A21 D21 G21 G19 J19 J21 M21 M19 P19:Q19 P21:Q21 A24:Q24 A23 D23 A26:Q26 A25 D25 A28:Q28 A27 D27 A30:Q30 A29 D29 G29 A31 D31 G31 G27 G25 G23 J23:Q23 J25 J27 J29 J31 M31 M29 M27 M25 P25:Q25 P27:Q27 P29:Q29 P31:Q31">
    <cfRule type="expression" dxfId="56" priority="17">
      <formula>IF($M16+3&gt;$K$6,TRUE())</formula>
    </cfRule>
  </conditionalFormatting>
  <conditionalFormatting sqref="S8 S10 S12 S16 S14 S18 S20 S22:S30">
    <cfRule type="expression" dxfId="55" priority="18">
      <formula>IF(AND(ISNUMBER(R9),R9&gt;0),TRUE())</formula>
    </cfRule>
    <cfRule type="expression" dxfId="54" priority="19">
      <formula>IF(OR(AND(Q8=0,R9&lt;=0),AND(COUNT(A8,D8,G8,J8,M8)&gt;0,Q8&gt;0,T8=0)),TRUE())</formula>
    </cfRule>
    <cfRule type="expression" dxfId="53" priority="20">
      <formula>IF(AND(COUNT(A8,D8,G8,J8,M8)&lt;5,Q8&gt;0,R9=0),TRUE())</formula>
    </cfRule>
  </conditionalFormatting>
  <conditionalFormatting sqref="U2">
    <cfRule type="expression" dxfId="52" priority="21">
      <formula>IF(SUM(T8:T30)&gt;0,TRUE())</formula>
    </cfRule>
  </conditionalFormatting>
  <dataValidations count="5">
    <dataValidation type="list" operator="equal" showErrorMessage="1" sqref="D6">
      <formula1>"Zone A,Zone B,Zone C"</formula1>
      <formula2>0</formula2>
    </dataValidation>
    <dataValidation type="time" allowBlank="1" showErrorMessage="1" errorTitle="Erreur de saisie" error="Soit le format horaire n'est pas respecté, soit l'horaire saisi est ... impossible pour une journée..." sqref="P9 P11 P13 P15 P17 P19 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17:C17 E21:F21 H17:I17 K21:L21 N17:O17 B19:C19 B21:C21 H19:I19 H21:I21 N19:O19 N21:O21 E25:F25 E23:F23 K23:L23 N23:O23 B23:C23 E27:F27 H23:I23 K27:L27 K25:L25 B25:C25 E31:F31 H25:I25 K29:L29 N25:O25 B27:C27 B29:C29 H27:I27 K31:L31 N27:O27 E29:F29 B31:C31 H29:I29 H31:I31 N29:O29 B9:C9 B11:C11 B13:C13 B15:C15 E19:F19 E17:F17 E15:F15 E13:F13 E11:F11 E9:F9 H9:I9 H11:I11 H13:I13 H15:I15 K19:L19 K17:L17 K15:L15 K13:L13 K11:L11 K9:L9 N9:O9 N11:O11 N13:O13 N15:O15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hyperlinks>
    <hyperlink ref="A41" r:id="rId1" display="http://www.legifrance.gouv.fr/affichTexte.do?cidTexte=JORFTEXT000029390985&amp;dateTexte=&amp;categorieLien=id "/>
  </hyperlink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showErrorMessage="1">
          <x14:formula1>
            <xm:f>Gestion!$A$20:$A$22</xm:f>
          </x14:formula1>
          <x14:formula2>
            <xm:f>0</xm:f>
          </x14:formula2>
          <xm:sqref>A6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8576"/>
  <sheetViews>
    <sheetView showGridLines="0" workbookViewId="0">
      <selection activeCell="J7" sqref="J7:L7"/>
    </sheetView>
  </sheetViews>
  <sheetFormatPr baseColWidth="10" defaultColWidth="8.85546875" defaultRowHeight="12.75" x14ac:dyDescent="0.2"/>
  <cols>
    <col min="12" max="12" width="11.85546875" customWidth="1"/>
    <col min="16" max="16" width="8.85546875" style="1"/>
    <col min="17" max="17" width="11" bestFit="1" customWidth="1"/>
    <col min="18" max="18" width="0" hidden="1"/>
    <col min="23" max="23" width="10.140625" customWidth="1"/>
  </cols>
  <sheetData>
    <row r="1" spans="1:23" ht="15" customHeight="1" x14ac:dyDescent="0.2">
      <c r="A1" s="192" t="s">
        <v>0</v>
      </c>
      <c r="B1" s="192"/>
      <c r="C1" s="19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>SNUipp-FSU 56</v>
      </c>
      <c r="N1" s="195"/>
      <c r="O1" s="196"/>
      <c r="Q1" s="35"/>
      <c r="R1" s="35"/>
    </row>
    <row r="2" spans="1:23" ht="15" customHeight="1" x14ac:dyDescent="0.2">
      <c r="A2" s="192" t="s">
        <v>1</v>
      </c>
      <c r="B2" s="192"/>
      <c r="C2" s="19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snu56@snuipp.fr</v>
      </c>
      <c r="N2" s="199"/>
      <c r="O2" s="200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02 97 21 03 41</v>
      </c>
      <c r="N3" s="203"/>
      <c r="O3" s="204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6" customFormat="1" ht="14.25" customHeight="1" x14ac:dyDescent="0.2">
      <c r="A5" s="41" t="s">
        <v>27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R5" s="42"/>
      <c r="U5" s="201"/>
      <c r="V5" s="201"/>
      <c r="W5" s="201"/>
    </row>
    <row r="6" spans="1:23" ht="21" customHeight="1" x14ac:dyDescent="0.3">
      <c r="A6" s="236" t="str">
        <f>'Période 1'!A6</f>
        <v>2016-2017</v>
      </c>
      <c r="B6" s="236">
        <f>'Période 1'!B6</f>
        <v>0</v>
      </c>
      <c r="C6" s="236">
        <f>'Période 1'!C6</f>
        <v>0</v>
      </c>
      <c r="D6" s="236" t="str">
        <f>'Période 1'!D6</f>
        <v>Zone B</v>
      </c>
      <c r="E6" s="236"/>
      <c r="F6" s="236"/>
      <c r="G6" s="118" t="str">
        <f>'Période 1'!G6</f>
        <v>du</v>
      </c>
      <c r="H6" s="211">
        <f>Gestion!B8</f>
        <v>42677</v>
      </c>
      <c r="I6" s="211"/>
      <c r="J6" s="118" t="str">
        <f>'Période 1'!J6</f>
        <v>au</v>
      </c>
      <c r="K6" s="211">
        <f>IF(WEEKDAY(Gestion!B9)=7,Gestion!B9-1,Gestion!B9)</f>
        <v>42720</v>
      </c>
      <c r="L6" s="211"/>
      <c r="M6" s="212" t="str">
        <f>(COUNT(A8:A30)+COUNT(D8:D30)+COUNT(G8:G30)+COUNT(J8:J30)+COUNT(M8:M30))/5&amp;" semaines"</f>
        <v>6,4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19" t="s">
        <v>14</v>
      </c>
      <c r="R7" s="119"/>
      <c r="S7" s="119" t="s">
        <v>15</v>
      </c>
    </row>
    <row r="8" spans="1:23" ht="13.35" customHeight="1" x14ac:dyDescent="0.2">
      <c r="A8" s="214" t="str">
        <f>IF(WEEKDAY(Gestion!B8)=2,Gestion!B8,"")</f>
        <v/>
      </c>
      <c r="B8" s="215" t="s">
        <v>16</v>
      </c>
      <c r="C8" s="215"/>
      <c r="D8" s="216" t="str">
        <f>IF(AND(COUNT(A8)=0,WEEKDAY(Gestion!B8)&lt;&gt;3),"",IF(WEEKDAY(Gestion!B8)=3,Gestion!B8,A8+1))</f>
        <v/>
      </c>
      <c r="E8" s="215" t="s">
        <v>16</v>
      </c>
      <c r="F8" s="215"/>
      <c r="G8" s="214" t="str">
        <f>IF(AND(COUNT(D8)=0,WEEKDAY(Gestion!B8)&lt;&gt;4),"",IF(WEEKDAY(Gestion!B8)=4,Gestion!B8,D8+1))</f>
        <v/>
      </c>
      <c r="H8" s="215" t="s">
        <v>16</v>
      </c>
      <c r="I8" s="215"/>
      <c r="J8" s="214">
        <f>IF(AND(COUNT(G8)=0,WEEKDAY(Gestion!B8)&lt;&gt;5),"",IF(WEEKDAY(Gestion!B8)=5,Gestion!B8,G8+1))</f>
        <v>42677</v>
      </c>
      <c r="K8" s="215" t="s">
        <v>16</v>
      </c>
      <c r="L8" s="215"/>
      <c r="M8" s="214">
        <f>IF(AND(COUNT(J8)=0,WEEKDAY(Gestion!B8)&lt;&gt;6),"",IF(WEEKDAY(Gestion!B8)=6,Gestion!B8,J8+1))</f>
        <v>42678</v>
      </c>
      <c r="N8" s="215" t="s">
        <v>16</v>
      </c>
      <c r="O8" s="215"/>
      <c r="P8" s="14"/>
      <c r="Q8" s="164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6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16"/>
      <c r="Q9" s="171"/>
      <c r="R9" s="17">
        <f>IF(AND(Q8&gt;0,COUNT(A8,D8,G8,J8,M8)&lt;5),0,IF(AND(ISNUMBER(Q8),Q8&gt;0),Q8-R$6,0))</f>
        <v>0</v>
      </c>
      <c r="S9" s="161"/>
      <c r="T9" s="217"/>
      <c r="U9" s="218"/>
      <c r="V9" s="218"/>
      <c r="W9" s="218"/>
    </row>
    <row r="10" spans="1:23" ht="13.35" customHeight="1" x14ac:dyDescent="0.2">
      <c r="A10" s="214">
        <f>M8+3</f>
        <v>42681</v>
      </c>
      <c r="B10" s="215" t="s">
        <v>16</v>
      </c>
      <c r="C10" s="215"/>
      <c r="D10" s="214">
        <f>A10+1</f>
        <v>42682</v>
      </c>
      <c r="E10" s="215" t="s">
        <v>16</v>
      </c>
      <c r="F10" s="215"/>
      <c r="G10" s="214">
        <f>D10+1</f>
        <v>42683</v>
      </c>
      <c r="H10" s="215" t="s">
        <v>16</v>
      </c>
      <c r="I10" s="215"/>
      <c r="J10" s="214">
        <f>G10+1</f>
        <v>42684</v>
      </c>
      <c r="K10" s="215" t="s">
        <v>16</v>
      </c>
      <c r="L10" s="215"/>
      <c r="M10" s="214">
        <f>J10+1</f>
        <v>42685</v>
      </c>
      <c r="N10" s="215" t="s">
        <v>16</v>
      </c>
      <c r="O10" s="215"/>
      <c r="P10" s="14"/>
      <c r="Q10" s="164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16"/>
      <c r="Q11" s="171"/>
      <c r="R11" s="19">
        <f>IF(Q10&gt;0,Q10-R$6,0)</f>
        <v>0</v>
      </c>
      <c r="S11" s="161"/>
      <c r="T11" s="217"/>
      <c r="U11" s="218"/>
      <c r="V11" s="218"/>
      <c r="W11" s="218"/>
    </row>
    <row r="12" spans="1:23" ht="13.35" customHeight="1" x14ac:dyDescent="0.2">
      <c r="A12" s="214">
        <f>M10+3</f>
        <v>42688</v>
      </c>
      <c r="B12" s="215" t="s">
        <v>16</v>
      </c>
      <c r="C12" s="215"/>
      <c r="D12" s="214">
        <f>A12+1</f>
        <v>42689</v>
      </c>
      <c r="E12" s="215" t="s">
        <v>16</v>
      </c>
      <c r="F12" s="215"/>
      <c r="G12" s="214">
        <f>D12+1</f>
        <v>42690</v>
      </c>
      <c r="H12" s="215" t="s">
        <v>16</v>
      </c>
      <c r="I12" s="215"/>
      <c r="J12" s="214">
        <f>G12+1</f>
        <v>42691</v>
      </c>
      <c r="K12" s="215" t="s">
        <v>16</v>
      </c>
      <c r="L12" s="215"/>
      <c r="M12" s="214">
        <f>J12+1</f>
        <v>42692</v>
      </c>
      <c r="N12" s="215" t="s">
        <v>16</v>
      </c>
      <c r="O12" s="215"/>
      <c r="P12" s="14"/>
      <c r="Q12" s="164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16"/>
      <c r="Q13" s="171"/>
      <c r="R13" s="19">
        <f>IF(Q12&gt;0,Q12-R$6,0)</f>
        <v>0</v>
      </c>
      <c r="S13" s="161"/>
      <c r="T13" s="217"/>
      <c r="U13" s="218"/>
      <c r="V13" s="218"/>
      <c r="W13" s="218"/>
    </row>
    <row r="14" spans="1:23" ht="13.35" customHeight="1" x14ac:dyDescent="0.2">
      <c r="A14" s="214">
        <f>M12+3</f>
        <v>42695</v>
      </c>
      <c r="B14" s="215" t="s">
        <v>16</v>
      </c>
      <c r="C14" s="215"/>
      <c r="D14" s="214">
        <f>A14+1</f>
        <v>42696</v>
      </c>
      <c r="E14" s="215" t="s">
        <v>16</v>
      </c>
      <c r="F14" s="215"/>
      <c r="G14" s="214">
        <f>D14+1</f>
        <v>42697</v>
      </c>
      <c r="H14" s="215" t="s">
        <v>16</v>
      </c>
      <c r="I14" s="215"/>
      <c r="J14" s="214">
        <f>G14+1</f>
        <v>42698</v>
      </c>
      <c r="K14" s="215" t="s">
        <v>16</v>
      </c>
      <c r="L14" s="215"/>
      <c r="M14" s="214">
        <f>J14+1</f>
        <v>42699</v>
      </c>
      <c r="N14" s="215" t="s">
        <v>16</v>
      </c>
      <c r="O14" s="215"/>
      <c r="P14" s="14"/>
      <c r="Q14" s="164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16"/>
      <c r="Q15" s="171"/>
      <c r="R15" s="19">
        <f>IF(Q14&gt;0,Q14-R$6,0)</f>
        <v>0</v>
      </c>
      <c r="S15" s="161"/>
      <c r="T15" s="217"/>
      <c r="U15" s="218"/>
      <c r="V15" s="218"/>
      <c r="W15" s="218"/>
    </row>
    <row r="16" spans="1:23" ht="13.35" customHeight="1" x14ac:dyDescent="0.2">
      <c r="A16" s="214">
        <f>M14+3</f>
        <v>42702</v>
      </c>
      <c r="B16" s="215" t="s">
        <v>16</v>
      </c>
      <c r="C16" s="215"/>
      <c r="D16" s="214">
        <f>A16+1</f>
        <v>42703</v>
      </c>
      <c r="E16" s="215" t="s">
        <v>16</v>
      </c>
      <c r="F16" s="215"/>
      <c r="G16" s="214">
        <f>D16+1</f>
        <v>42704</v>
      </c>
      <c r="H16" s="215" t="s">
        <v>16</v>
      </c>
      <c r="I16" s="215"/>
      <c r="J16" s="214">
        <f>G16+1</f>
        <v>42705</v>
      </c>
      <c r="K16" s="215" t="s">
        <v>16</v>
      </c>
      <c r="L16" s="215"/>
      <c r="M16" s="214">
        <f>J16+1</f>
        <v>42706</v>
      </c>
      <c r="N16" s="215" t="s">
        <v>16</v>
      </c>
      <c r="O16" s="215"/>
      <c r="P16" s="14"/>
      <c r="Q16" s="164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16"/>
      <c r="Q17" s="171"/>
      <c r="R17" s="19">
        <f>IF(Q16&gt;0,Q16-R$6,0)</f>
        <v>0</v>
      </c>
      <c r="S17" s="161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42709</v>
      </c>
      <c r="B18" s="215" t="s">
        <v>16</v>
      </c>
      <c r="C18" s="215"/>
      <c r="D18" s="214">
        <f>IF(ISNUMBER(A18),IF(A18+1&lt;=$K$6,A18+1,""),"")</f>
        <v>42710</v>
      </c>
      <c r="E18" s="215" t="s">
        <v>16</v>
      </c>
      <c r="F18" s="215"/>
      <c r="G18" s="214">
        <f>IF(ISNUMBER(D18),IF(D18+1&lt;=$K$6,D18+1,""),"")</f>
        <v>42711</v>
      </c>
      <c r="H18" s="215" t="s">
        <v>16</v>
      </c>
      <c r="I18" s="215"/>
      <c r="J18" s="214">
        <f>IF(ISNUMBER(G18),IF(G18+1&lt;=$K$6,G18+1,""),"")</f>
        <v>42712</v>
      </c>
      <c r="K18" s="215" t="s">
        <v>16</v>
      </c>
      <c r="L18" s="215"/>
      <c r="M18" s="214">
        <f>IF(ISNUMBER(J18),IF(J18+1&lt;=$K$6,J18+1,""),"")</f>
        <v>42713</v>
      </c>
      <c r="N18" s="215" t="s">
        <v>16</v>
      </c>
      <c r="O18" s="215"/>
      <c r="P18" s="14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16"/>
      <c r="Q19" s="18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61"/>
      <c r="T19" s="217"/>
      <c r="U19" s="218"/>
      <c r="V19" s="218"/>
      <c r="W19" s="218"/>
    </row>
    <row r="20" spans="1:23" ht="13.35" customHeight="1" x14ac:dyDescent="0.2">
      <c r="A20" s="214">
        <f>IF(ISNUMBER(M18),IF(M18+3&gt;$K$6,"",M18+3),"")</f>
        <v>42716</v>
      </c>
      <c r="B20" s="215" t="s">
        <v>16</v>
      </c>
      <c r="C20" s="215"/>
      <c r="D20" s="214">
        <f t="shared" ref="D20:D31" si="1">IF(ISNUMBER(A20),IF(A20+1&lt;=$K$6,A20+1,""),"")</f>
        <v>42717</v>
      </c>
      <c r="E20" s="215" t="s">
        <v>16</v>
      </c>
      <c r="F20" s="215"/>
      <c r="G20" s="214">
        <f t="shared" ref="G20:G31" si="2">IF(ISNUMBER(D20),IF(D20+1&lt;=$K$6,D20+1,""),"")</f>
        <v>42718</v>
      </c>
      <c r="H20" s="215" t="s">
        <v>16</v>
      </c>
      <c r="I20" s="215"/>
      <c r="J20" s="214">
        <f t="shared" ref="J20:J31" si="3">IF(ISNUMBER(G20),IF(G20+1&lt;=$K$6,G20+1,""),"")</f>
        <v>42719</v>
      </c>
      <c r="K20" s="215" t="s">
        <v>16</v>
      </c>
      <c r="L20" s="215"/>
      <c r="M20" s="214">
        <f t="shared" ref="M20:M31" si="4">IF(ISNUMBER(J20),IF(J20+1&lt;=$K$6,J20+1,""),"")</f>
        <v>42720</v>
      </c>
      <c r="N20" s="215" t="s">
        <v>16</v>
      </c>
      <c r="O20" s="215"/>
      <c r="P20" s="14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16"/>
      <c r="Q21" s="178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161"/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15" t="s">
        <v>16</v>
      </c>
      <c r="C22" s="215"/>
      <c r="D22" s="214" t="str">
        <f t="shared" si="1"/>
        <v/>
      </c>
      <c r="E22" s="215" t="s">
        <v>16</v>
      </c>
      <c r="F22" s="215"/>
      <c r="G22" s="214" t="str">
        <f t="shared" si="2"/>
        <v/>
      </c>
      <c r="H22" s="215" t="s">
        <v>16</v>
      </c>
      <c r="I22" s="215"/>
      <c r="J22" s="214" t="str">
        <f t="shared" si="3"/>
        <v/>
      </c>
      <c r="K22" s="215" t="s">
        <v>16</v>
      </c>
      <c r="L22" s="215"/>
      <c r="M22" s="214" t="str">
        <f t="shared" si="4"/>
        <v/>
      </c>
      <c r="N22" s="215" t="s">
        <v>16</v>
      </c>
      <c r="O22" s="215"/>
      <c r="P22" s="43"/>
      <c r="Q22" s="225" t="str">
        <f t="shared" si="0"/>
        <v/>
      </c>
      <c r="R22" s="2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37"/>
      <c r="C23" s="237"/>
      <c r="D23" s="214" t="str">
        <f t="shared" si="1"/>
        <v/>
      </c>
      <c r="E23" s="237"/>
      <c r="F23" s="237"/>
      <c r="G23" s="214" t="str">
        <f t="shared" si="2"/>
        <v/>
      </c>
      <c r="H23" s="237"/>
      <c r="I23" s="237"/>
      <c r="J23" s="214" t="str">
        <f t="shared" si="3"/>
        <v/>
      </c>
      <c r="K23" s="237"/>
      <c r="L23" s="237"/>
      <c r="M23" s="214" t="str">
        <f t="shared" si="4"/>
        <v/>
      </c>
      <c r="N23" s="237"/>
      <c r="O23" s="237"/>
      <c r="P23" s="43"/>
      <c r="Q23" s="225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15" t="s">
        <v>16</v>
      </c>
      <c r="C24" s="215"/>
      <c r="D24" s="214" t="str">
        <f t="shared" si="1"/>
        <v/>
      </c>
      <c r="E24" s="215" t="s">
        <v>16</v>
      </c>
      <c r="F24" s="215"/>
      <c r="G24" s="214" t="str">
        <f t="shared" si="2"/>
        <v/>
      </c>
      <c r="H24" s="215" t="s">
        <v>16</v>
      </c>
      <c r="I24" s="215"/>
      <c r="J24" s="214" t="str">
        <f t="shared" si="3"/>
        <v/>
      </c>
      <c r="K24" s="215" t="s">
        <v>16</v>
      </c>
      <c r="L24" s="215"/>
      <c r="M24" s="214" t="str">
        <f t="shared" si="4"/>
        <v/>
      </c>
      <c r="N24" s="215" t="s">
        <v>16</v>
      </c>
      <c r="O24" s="215"/>
      <c r="P24" s="43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37"/>
      <c r="C25" s="237"/>
      <c r="D25" s="214" t="str">
        <f t="shared" si="1"/>
        <v/>
      </c>
      <c r="E25" s="237"/>
      <c r="F25" s="237"/>
      <c r="G25" s="214" t="str">
        <f t="shared" si="2"/>
        <v/>
      </c>
      <c r="H25" s="237"/>
      <c r="I25" s="237"/>
      <c r="J25" s="214" t="str">
        <f t="shared" si="3"/>
        <v/>
      </c>
      <c r="K25" s="237"/>
      <c r="L25" s="237"/>
      <c r="M25" s="214" t="str">
        <f t="shared" si="4"/>
        <v/>
      </c>
      <c r="N25" s="237"/>
      <c r="O25" s="237"/>
      <c r="P25" s="4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35" customHeight="1" x14ac:dyDescent="0.2">
      <c r="A26" s="214" t="str">
        <f>IF(ISNUMBER(M24),IF(M24+3&gt;$K$6,"",M24+3),"")</f>
        <v/>
      </c>
      <c r="B26" s="215" t="s">
        <v>16</v>
      </c>
      <c r="C26" s="215"/>
      <c r="D26" s="214" t="str">
        <f t="shared" si="1"/>
        <v/>
      </c>
      <c r="E26" s="215" t="s">
        <v>16</v>
      </c>
      <c r="F26" s="215"/>
      <c r="G26" s="214" t="str">
        <f t="shared" si="2"/>
        <v/>
      </c>
      <c r="H26" s="215" t="s">
        <v>16</v>
      </c>
      <c r="I26" s="215"/>
      <c r="J26" s="214" t="str">
        <f t="shared" si="3"/>
        <v/>
      </c>
      <c r="K26" s="215" t="s">
        <v>16</v>
      </c>
      <c r="L26" s="215"/>
      <c r="M26" s="214" t="str">
        <f t="shared" si="4"/>
        <v/>
      </c>
      <c r="N26" s="215" t="s">
        <v>16</v>
      </c>
      <c r="O26" s="215"/>
      <c r="P26" s="43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37"/>
      <c r="C27" s="237"/>
      <c r="D27" s="214" t="str">
        <f t="shared" si="1"/>
        <v/>
      </c>
      <c r="E27" s="237"/>
      <c r="F27" s="237"/>
      <c r="G27" s="214" t="str">
        <f t="shared" si="2"/>
        <v/>
      </c>
      <c r="H27" s="237"/>
      <c r="I27" s="237"/>
      <c r="J27" s="214" t="str">
        <f t="shared" si="3"/>
        <v/>
      </c>
      <c r="K27" s="237"/>
      <c r="L27" s="237"/>
      <c r="M27" s="214" t="str">
        <f t="shared" si="4"/>
        <v/>
      </c>
      <c r="N27" s="237"/>
      <c r="O27" s="237"/>
      <c r="P27" s="4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35" customHeight="1" x14ac:dyDescent="0.2">
      <c r="A28" s="214" t="str">
        <f>IF(ISNUMBER(M26),IF(M26+3&gt;$K$6,"",M26+3),"")</f>
        <v/>
      </c>
      <c r="B28" s="215" t="s">
        <v>16</v>
      </c>
      <c r="C28" s="215"/>
      <c r="D28" s="214" t="str">
        <f t="shared" si="1"/>
        <v/>
      </c>
      <c r="E28" s="215" t="s">
        <v>16</v>
      </c>
      <c r="F28" s="215"/>
      <c r="G28" s="214" t="str">
        <f t="shared" si="2"/>
        <v/>
      </c>
      <c r="H28" s="215" t="s">
        <v>16</v>
      </c>
      <c r="I28" s="215"/>
      <c r="J28" s="214" t="str">
        <f t="shared" si="3"/>
        <v/>
      </c>
      <c r="K28" s="215" t="s">
        <v>16</v>
      </c>
      <c r="L28" s="215"/>
      <c r="M28" s="214" t="str">
        <f t="shared" si="4"/>
        <v/>
      </c>
      <c r="N28" s="215" t="s">
        <v>16</v>
      </c>
      <c r="O28" s="215"/>
      <c r="P28" s="43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37"/>
      <c r="C29" s="237"/>
      <c r="D29" s="214" t="str">
        <f t="shared" si="1"/>
        <v/>
      </c>
      <c r="E29" s="237"/>
      <c r="F29" s="237"/>
      <c r="G29" s="214" t="str">
        <f t="shared" si="2"/>
        <v/>
      </c>
      <c r="H29" s="237"/>
      <c r="I29" s="237"/>
      <c r="J29" s="214" t="str">
        <f t="shared" si="3"/>
        <v/>
      </c>
      <c r="K29" s="237"/>
      <c r="L29" s="237"/>
      <c r="M29" s="214" t="str">
        <f t="shared" si="4"/>
        <v/>
      </c>
      <c r="N29" s="237"/>
      <c r="O29" s="237"/>
      <c r="P29" s="4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15" t="s">
        <v>16</v>
      </c>
      <c r="C30" s="215"/>
      <c r="D30" s="214" t="str">
        <f t="shared" si="1"/>
        <v/>
      </c>
      <c r="E30" s="215" t="s">
        <v>16</v>
      </c>
      <c r="F30" s="215"/>
      <c r="G30" s="214" t="str">
        <f t="shared" si="2"/>
        <v/>
      </c>
      <c r="H30" s="215" t="s">
        <v>16</v>
      </c>
      <c r="I30" s="215"/>
      <c r="J30" s="214" t="str">
        <f t="shared" si="3"/>
        <v/>
      </c>
      <c r="K30" s="215" t="s">
        <v>16</v>
      </c>
      <c r="L30" s="215"/>
      <c r="M30" s="214" t="str">
        <f t="shared" si="4"/>
        <v/>
      </c>
      <c r="N30" s="215" t="s">
        <v>16</v>
      </c>
      <c r="O30" s="215"/>
      <c r="P30" s="43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37"/>
      <c r="C31" s="237"/>
      <c r="D31" s="214" t="str">
        <f t="shared" si="1"/>
        <v/>
      </c>
      <c r="E31" s="237"/>
      <c r="F31" s="237"/>
      <c r="G31" s="214" t="str">
        <f t="shared" si="2"/>
        <v/>
      </c>
      <c r="H31" s="237"/>
      <c r="I31" s="237"/>
      <c r="J31" s="214" t="str">
        <f t="shared" si="3"/>
        <v/>
      </c>
      <c r="K31" s="237"/>
      <c r="L31" s="237"/>
      <c r="M31" s="214" t="str">
        <f t="shared" si="4"/>
        <v/>
      </c>
      <c r="N31" s="237"/>
      <c r="O31" s="237"/>
      <c r="P31" s="4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P32" s="7"/>
    </row>
    <row r="33" spans="1:19" ht="56.85" customHeight="1" x14ac:dyDescent="0.2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28" t="str">
        <f>'Période 1'!Q33</f>
        <v>Solde 
à récupérer*
sur la
période</v>
      </c>
      <c r="R33" s="131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2">
        <f>IF(R33&lt;=0,0,IF(R33&gt;0,TEXT(R33,"[hh]:mm"),"0"))</f>
        <v>0</v>
      </c>
    </row>
    <row r="34" spans="1:19" ht="13.35" customHeight="1" x14ac:dyDescent="0.2">
      <c r="A34" s="44"/>
      <c r="B34" s="30"/>
      <c r="C34" s="30"/>
      <c r="D34" s="30"/>
      <c r="E34" s="30"/>
      <c r="F34" s="30"/>
      <c r="Q34" s="45"/>
      <c r="R34" s="46"/>
      <c r="S34" s="47"/>
    </row>
    <row r="35" spans="1:19" s="49" customFormat="1" ht="39.75" customHeight="1" thickBot="1" x14ac:dyDescent="0.25">
      <c r="A35" s="228"/>
      <c r="B35" s="228"/>
      <c r="C35" s="228"/>
      <c r="D35" s="228"/>
      <c r="E35" s="29"/>
      <c r="F35" s="27"/>
      <c r="G35" s="48"/>
      <c r="P35" s="50"/>
      <c r="Q35" s="128" t="s">
        <v>28</v>
      </c>
      <c r="R35" s="129">
        <f>IF('Période 1'!R40&lt;0,'Période 1'!R40,R33+'Période 1'!R40)</f>
        <v>0</v>
      </c>
      <c r="S35" s="130">
        <f>IF(R35=0,0,IF(R35&gt;0,"+ "&amp;TEXT(R35,"[hh]:mm"),"Erreur de récupération"))</f>
        <v>0</v>
      </c>
    </row>
    <row r="36" spans="1:19" ht="13.35" customHeight="1" x14ac:dyDescent="0.2">
      <c r="A36" s="123" t="str">
        <f>'Période 1'!A36</f>
        <v>Récupération des heures</v>
      </c>
      <c r="B36" s="124"/>
      <c r="C36" s="125"/>
      <c r="S36" s="2"/>
    </row>
    <row r="37" spans="1:19" ht="14.25" customHeight="1" thickBot="1" x14ac:dyDescent="0.25">
      <c r="A37" s="238" t="str">
        <f>'Période 1'!A37</f>
        <v>Indiquer ci-contre les dates (pour mémoire) ainsi que les heures récupérées sur la période.</v>
      </c>
      <c r="B37" s="239"/>
      <c r="C37" s="240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44" t="str">
        <f>'Période 1'!Q37:Q38</f>
        <v>Total 
récupéré sur la période</v>
      </c>
      <c r="R37" s="246">
        <f>SUM(F38,I38,L38,O38)</f>
        <v>0</v>
      </c>
      <c r="S37" s="181" t="str">
        <f>IF(R35=0,"Pas d'heures à récupérer",IF(R37&gt;R35,"Vous tentez de récupérer trop d'heures...",TEXT(R37,"[hh]:mm")))</f>
        <v>Pas d'heures à récupérer</v>
      </c>
    </row>
    <row r="38" spans="1:19" ht="42.6" customHeight="1" thickBot="1" x14ac:dyDescent="0.25">
      <c r="A38" s="241"/>
      <c r="B38" s="242"/>
      <c r="C38" s="243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45"/>
      <c r="R38" s="247"/>
      <c r="S38" s="182"/>
    </row>
    <row r="39" spans="1:19" s="6" customFormat="1" ht="12.95" customHeight="1" x14ac:dyDescent="0.2">
      <c r="C39" s="23"/>
      <c r="P39" s="7"/>
      <c r="Q39" s="37"/>
      <c r="S39" s="23"/>
    </row>
    <row r="40" spans="1:19" ht="19.7" customHeight="1" x14ac:dyDescent="0.2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44" t="str">
        <f>'Période 1'!Q40</f>
        <v>Reste à 
récupérer sur l'année</v>
      </c>
      <c r="R40" s="126">
        <f>R35-R37</f>
        <v>0</v>
      </c>
      <c r="S40" s="183">
        <f>IF(R40&gt;=0,R35-R37,"Erreur de récupération")</f>
        <v>0</v>
      </c>
    </row>
    <row r="41" spans="1:19" s="6" customFormat="1" ht="19.7" customHeight="1" x14ac:dyDescent="0.2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45"/>
      <c r="R41" s="127"/>
      <c r="S41" s="189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4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8 S10 S12 S14 S16 S18 S20 S22:S30">
    <cfRule type="expression" dxfId="51" priority="2">
      <formula>IF(AND(ISNUMBER(R9),R9&gt;0),TRUE())</formula>
    </cfRule>
    <cfRule type="expression" dxfId="50" priority="3">
      <formula>IF(OR(AND(Q8=0,R9&lt;=0),AND(COUNT(A8,D8,G8,J8,M8)&gt;0,Q8&gt;0,T8=0)),TRUE())</formula>
    </cfRule>
    <cfRule type="expression" dxfId="49" priority="4">
      <formula>IF(AND(COUNT(A8,D8,G8,J8,M8)&lt;5,Q8&gt;0,R9=0),TRUE())</formula>
    </cfRule>
  </conditionalFormatting>
  <conditionalFormatting sqref="S33">
    <cfRule type="expression" dxfId="48" priority="5">
      <formula>IF(R33&gt;0,TRUE())</formula>
    </cfRule>
    <cfRule type="expression" dxfId="47" priority="6">
      <formula>IF(R33&lt;=0,TRUE())</formula>
    </cfRule>
  </conditionalFormatting>
  <conditionalFormatting sqref="S40">
    <cfRule type="expression" dxfId="46" priority="7">
      <formula>IF(R40&lt;&gt;0,TRUE())</formula>
    </cfRule>
    <cfRule type="expression" dxfId="45" priority="8">
      <formula>IF(R40=0,TRUE())</formula>
    </cfRule>
  </conditionalFormatting>
  <conditionalFormatting sqref="S37:S38">
    <cfRule type="expression" dxfId="44" priority="9">
      <formula>IF(R37&gt;R35,1,0)</formula>
    </cfRule>
    <cfRule type="expression" dxfId="43" priority="10">
      <formula>IF(R37&lt;=R35,1,0)</formula>
    </cfRule>
  </conditionalFormatting>
  <conditionalFormatting sqref="S35">
    <cfRule type="expression" dxfId="42" priority="11">
      <formula>IF(R35&gt;0,TRUE())</formula>
    </cfRule>
    <cfRule type="cellIs" dxfId="41" priority="12" operator="equal">
      <formula>"Erreur de récupération"</formula>
    </cfRule>
    <cfRule type="expression" dxfId="40" priority="13">
      <formula>IF(R35&lt;=0,TRUE())</formula>
    </cfRule>
  </conditionalFormatting>
  <conditionalFormatting sqref="U2">
    <cfRule type="expression" dxfId="39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F35">
      <formula1>0.0416666666666667</formula1>
      <formula2>0.25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B11:C11 B13:C13 B15:C15 B17:C17 B19:C19 B21:C21 E21:F21 E19:F19 E17:F17 E15:F15 E13:F13 E11:F11 E9:F9 H9:I9 H11:I11 H13:I13 H15:I15 H17:I17 H19:I19 H21:I21 K21:L21 K19:L19 K17:L17 K15:L15 K13:L13 K11:L11 K9:L9 N9:O9 N11:O11 N13:O13 N15:O15 N17:O17 N19:O19 N21:O21 B23:C23 B25:C25 B27:C27 B29:C29 B31:C31 E31:F31 E29:F29 E27:F27 E25:F25 E23:F23 H23:I23 H25:I25 H27:I27 H29:I29 H31:I31 K31:L31 K29:L29 K27:L27 K25:L25 K23:L23 N23:O23 N25:O25 N27:O27 N29:O29 N31:O31">
      <formula1>0.291666666666667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8576"/>
  <sheetViews>
    <sheetView showGridLines="0" workbookViewId="0">
      <selection activeCell="J7" sqref="J7:L7"/>
    </sheetView>
  </sheetViews>
  <sheetFormatPr baseColWidth="10" defaultColWidth="8.85546875" defaultRowHeight="12.75" x14ac:dyDescent="0.2"/>
  <cols>
    <col min="16" max="16" width="8.85546875" style="1"/>
    <col min="17" max="17" width="11" bestFit="1" customWidth="1"/>
    <col min="18" max="18" width="0" hidden="1"/>
    <col min="23" max="23" width="10" customWidth="1"/>
  </cols>
  <sheetData>
    <row r="1" spans="1:23" ht="15" customHeight="1" x14ac:dyDescent="0.2">
      <c r="A1" s="248" t="s">
        <v>0</v>
      </c>
      <c r="B1" s="248"/>
      <c r="C1" s="248"/>
      <c r="D1" s="249" t="str">
        <f>IF(ISBLANK('Période 1'!D1:K1),"",'Période 1'!D1:K1)</f>
        <v/>
      </c>
      <c r="E1" s="249"/>
      <c r="F1" s="249"/>
      <c r="G1" s="249"/>
      <c r="H1" s="249"/>
      <c r="I1" s="249"/>
      <c r="J1" s="249"/>
      <c r="K1" s="249"/>
      <c r="M1" s="250" t="str">
        <f>Gestion!AC2</f>
        <v>SNUipp-FSU 56</v>
      </c>
      <c r="N1" s="250"/>
      <c r="O1" s="250"/>
      <c r="Q1" s="35"/>
      <c r="R1" s="35"/>
    </row>
    <row r="2" spans="1:23" ht="15" customHeight="1" x14ac:dyDescent="0.2">
      <c r="A2" s="248" t="s">
        <v>1</v>
      </c>
      <c r="B2" s="248"/>
      <c r="C2" s="248"/>
      <c r="D2" s="249" t="str">
        <f>IF(ISBLANK('Période 1'!D2:K2),"",'Période 1'!D2:K2)</f>
        <v/>
      </c>
      <c r="E2" s="249"/>
      <c r="F2" s="249"/>
      <c r="G2" s="249"/>
      <c r="H2" s="249"/>
      <c r="I2" s="249"/>
      <c r="J2" s="249"/>
      <c r="K2" s="249"/>
      <c r="M2" s="199" t="str">
        <f>HYPERLINK("mailto:"&amp;Gestion!AC3,Gestion!AC3)</f>
        <v>snu56@snuipp.fr</v>
      </c>
      <c r="N2" s="199"/>
      <c r="O2" s="199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248" t="s">
        <v>2</v>
      </c>
      <c r="B3" s="248"/>
      <c r="C3" s="248"/>
      <c r="D3" s="249" t="str">
        <f>IF(ISBLANK('Période 1'!D3:K3),"",'Période 1'!D3:K3)</f>
        <v/>
      </c>
      <c r="E3" s="249"/>
      <c r="F3" s="249"/>
      <c r="G3" s="249"/>
      <c r="H3" s="249"/>
      <c r="I3" s="249"/>
      <c r="J3" s="249"/>
      <c r="K3" s="249"/>
      <c r="M3" s="251" t="str">
        <f>Gestion!AC4</f>
        <v>02 97 21 03 41</v>
      </c>
      <c r="N3" s="251"/>
      <c r="O3" s="251"/>
      <c r="U3" s="201"/>
      <c r="V3" s="201"/>
      <c r="W3" s="201"/>
    </row>
    <row r="4" spans="1:23" ht="15" customHeight="1" x14ac:dyDescent="0.2">
      <c r="A4" s="248" t="s">
        <v>3</v>
      </c>
      <c r="B4" s="248"/>
      <c r="C4" s="248"/>
      <c r="D4" s="249" t="str">
        <f>IF(ISBLANK('Période 1'!D4:K4),"",'Période 1'!D4:K4)</f>
        <v/>
      </c>
      <c r="E4" s="249"/>
      <c r="F4" s="249"/>
      <c r="G4" s="249"/>
      <c r="H4" s="249"/>
      <c r="I4" s="249"/>
      <c r="J4" s="249"/>
      <c r="K4" s="249"/>
      <c r="M4" s="251" t="str">
        <f>IF(ISBLANK(Gestion!AC5),"",Gestion!AC5)</f>
        <v/>
      </c>
      <c r="N4" s="251"/>
      <c r="O4" s="251"/>
      <c r="U4" s="201"/>
      <c r="V4" s="201"/>
      <c r="W4" s="201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P5" s="7"/>
      <c r="U5" s="201"/>
      <c r="V5" s="201"/>
      <c r="W5" s="201"/>
    </row>
    <row r="6" spans="1:23" ht="21" customHeight="1" x14ac:dyDescent="0.3">
      <c r="A6" s="236" t="str">
        <f>'Période 1'!A6</f>
        <v>2016-2017</v>
      </c>
      <c r="B6" s="236"/>
      <c r="C6" s="236"/>
      <c r="D6" s="252" t="str">
        <f>'Période 1'!D6</f>
        <v>Zone B</v>
      </c>
      <c r="E6" s="252"/>
      <c r="F6" s="252"/>
      <c r="G6" s="118" t="str">
        <f>'Période 1'!G6</f>
        <v>du</v>
      </c>
      <c r="H6" s="211">
        <f>Gestion!B10</f>
        <v>42738</v>
      </c>
      <c r="I6" s="211"/>
      <c r="J6" s="118" t="str">
        <f>'Période 1'!J6</f>
        <v>au</v>
      </c>
      <c r="K6" s="211">
        <f>IF(WEEKDAY(Gestion!B11)=7,Gestion!B11-1,Gestion!B11)</f>
        <v>42776</v>
      </c>
      <c r="L6" s="211"/>
      <c r="M6" s="212" t="str">
        <f>(COUNT(A8:A30)+COUNT(D8:D30)+COUNT(G8:G30)+COUNT(J8:J30)+COUNT(M8:M30))/5&amp;" semaines"</f>
        <v>5,8 semaines</v>
      </c>
      <c r="N6" s="212"/>
      <c r="O6" s="212"/>
      <c r="P6" s="8"/>
      <c r="Q6" s="67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136"/>
      <c r="Q7" s="119" t="s">
        <v>14</v>
      </c>
      <c r="R7" s="119"/>
      <c r="S7" s="119" t="s">
        <v>15</v>
      </c>
    </row>
    <row r="8" spans="1:23" ht="13.35" customHeight="1" x14ac:dyDescent="0.2">
      <c r="A8" s="214" t="str">
        <f>IF(WEEKDAY(Gestion!B10)=2,Gestion!B10,"")</f>
        <v/>
      </c>
      <c r="B8" s="215" t="s">
        <v>16</v>
      </c>
      <c r="C8" s="215"/>
      <c r="D8" s="216">
        <f>IF(AND(COUNT(A8)=0,WEEKDAY(Gestion!$B10)&lt;&gt;3),"",IF(WEEKDAY(Gestion!$B10)=3,Gestion!$B10,A8+1))</f>
        <v>42738</v>
      </c>
      <c r="E8" s="215" t="s">
        <v>16</v>
      </c>
      <c r="F8" s="215"/>
      <c r="G8" s="216">
        <f>IF(AND(COUNT(D8)=0,WEEKDAY(Gestion!$B10)&lt;&gt;4),"",IF(WEEKDAY(Gestion!$B10)=4,Gestion!$B10,D8+1))</f>
        <v>42739</v>
      </c>
      <c r="H8" s="215" t="s">
        <v>16</v>
      </c>
      <c r="I8" s="215"/>
      <c r="J8" s="216">
        <f>IF(AND(COUNT(G8)=0,WEEKDAY(Gestion!$B10)&lt;&gt;5),"",IF(WEEKDAY(Gestion!$B10)=5,Gestion!$B10,G8+1))</f>
        <v>42740</v>
      </c>
      <c r="K8" s="215" t="s">
        <v>16</v>
      </c>
      <c r="L8" s="215"/>
      <c r="M8" s="216">
        <f>IF(AND(COUNT(J8)=0,WEEKDAY(Gestion!$B10)&lt;&gt;6),"",IF(WEEKDAY(Gestion!$B10)=6,Gestion!$B10,J8+1))</f>
        <v>42741</v>
      </c>
      <c r="N8" s="215" t="s">
        <v>16</v>
      </c>
      <c r="O8" s="215"/>
      <c r="P8" s="52"/>
      <c r="Q8" s="164">
        <f>(IF(ISNUMBER(B9),B9,0)+IF(ISNUMBER(E9),E9,0)+IF(ISNUMBER(J9),J9,0)+IF(ISNUMBER(H9),H9,0)+IF(ISNUMBER(K9),K9,0)+IF(ISNUMBER(N9),N9,0))</f>
        <v>0</v>
      </c>
      <c r="R8" s="120"/>
      <c r="S8" s="146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6"/>
      <c r="E9" s="219"/>
      <c r="F9" s="219"/>
      <c r="G9" s="216"/>
      <c r="H9" s="219"/>
      <c r="I9" s="219"/>
      <c r="J9" s="216"/>
      <c r="K9" s="219"/>
      <c r="L9" s="219"/>
      <c r="M9" s="216"/>
      <c r="N9" s="219"/>
      <c r="O9" s="219"/>
      <c r="P9" s="53"/>
      <c r="Q9" s="171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3.35" customHeight="1" x14ac:dyDescent="0.2">
      <c r="A10" s="214">
        <f>M8+3</f>
        <v>42744</v>
      </c>
      <c r="B10" s="215" t="s">
        <v>16</v>
      </c>
      <c r="C10" s="215"/>
      <c r="D10" s="214">
        <f>A10+1</f>
        <v>42745</v>
      </c>
      <c r="E10" s="215" t="s">
        <v>16</v>
      </c>
      <c r="F10" s="215"/>
      <c r="G10" s="214">
        <f>D10+1</f>
        <v>42746</v>
      </c>
      <c r="H10" s="215" t="s">
        <v>16</v>
      </c>
      <c r="I10" s="215"/>
      <c r="J10" s="214">
        <f>G10+1</f>
        <v>42747</v>
      </c>
      <c r="K10" s="215" t="s">
        <v>16</v>
      </c>
      <c r="L10" s="215"/>
      <c r="M10" s="214">
        <f>J10+1</f>
        <v>42748</v>
      </c>
      <c r="N10" s="215" t="s">
        <v>16</v>
      </c>
      <c r="O10" s="215"/>
      <c r="P10" s="52"/>
      <c r="Q10" s="164">
        <f>(IF(ISNUMBER(B11),B11,0)+IF(ISNUMBER(E11),E11,0)+IF(ISNUMBER(J11),J11,0)+IF(ISNUMBER(H11),H11,0)+IF(ISNUMBER(K11),K11,0)+IF(ISNUMBER(N11),N11,0))</f>
        <v>0</v>
      </c>
      <c r="R10" s="121"/>
      <c r="S10" s="146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53"/>
      <c r="Q11" s="171"/>
      <c r="R11" s="19">
        <f>IF(Q10&gt;0,Q10-R$6,0)</f>
        <v>0</v>
      </c>
      <c r="S11" s="15"/>
      <c r="T11" s="217"/>
      <c r="U11" s="218"/>
      <c r="V11" s="218"/>
      <c r="W11" s="218"/>
    </row>
    <row r="12" spans="1:23" ht="13.35" customHeight="1" x14ac:dyDescent="0.2">
      <c r="A12" s="214">
        <f>M10+3</f>
        <v>42751</v>
      </c>
      <c r="B12" s="215" t="s">
        <v>16</v>
      </c>
      <c r="C12" s="215"/>
      <c r="D12" s="214">
        <f>A12+1</f>
        <v>42752</v>
      </c>
      <c r="E12" s="215" t="s">
        <v>16</v>
      </c>
      <c r="F12" s="215"/>
      <c r="G12" s="214">
        <f>D12+1</f>
        <v>42753</v>
      </c>
      <c r="H12" s="215" t="s">
        <v>16</v>
      </c>
      <c r="I12" s="215"/>
      <c r="J12" s="214">
        <f>G12+1</f>
        <v>42754</v>
      </c>
      <c r="K12" s="215" t="s">
        <v>16</v>
      </c>
      <c r="L12" s="215"/>
      <c r="M12" s="214">
        <f>J12+1</f>
        <v>42755</v>
      </c>
      <c r="N12" s="215" t="s">
        <v>16</v>
      </c>
      <c r="O12" s="215"/>
      <c r="P12" s="52"/>
      <c r="Q12" s="164">
        <f>(IF(ISNUMBER(B13),B13,0)+IF(ISNUMBER(E13),E13,0)+IF(ISNUMBER(J13),J13,0)+IF(ISNUMBER(H13),H13,0)+IF(ISNUMBER(K13),K13,0)+IF(ISNUMBER(N13),N13,0))</f>
        <v>0</v>
      </c>
      <c r="R12" s="121"/>
      <c r="S12" s="146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53"/>
      <c r="Q13" s="171"/>
      <c r="R13" s="19">
        <f>IF(Q12&gt;0,Q12-R$6,0)</f>
        <v>0</v>
      </c>
      <c r="S13" s="15"/>
      <c r="T13" s="217"/>
      <c r="U13" s="218"/>
      <c r="V13" s="218"/>
      <c r="W13" s="218"/>
    </row>
    <row r="14" spans="1:23" ht="13.35" customHeight="1" x14ac:dyDescent="0.2">
      <c r="A14" s="214">
        <f>M12+3</f>
        <v>42758</v>
      </c>
      <c r="B14" s="215" t="s">
        <v>16</v>
      </c>
      <c r="C14" s="215"/>
      <c r="D14" s="214">
        <f>A14+1</f>
        <v>42759</v>
      </c>
      <c r="E14" s="215" t="s">
        <v>16</v>
      </c>
      <c r="F14" s="215"/>
      <c r="G14" s="214">
        <f>D14+1</f>
        <v>42760</v>
      </c>
      <c r="H14" s="215" t="s">
        <v>16</v>
      </c>
      <c r="I14" s="215"/>
      <c r="J14" s="214">
        <f>G14+1</f>
        <v>42761</v>
      </c>
      <c r="K14" s="215" t="s">
        <v>16</v>
      </c>
      <c r="L14" s="215"/>
      <c r="M14" s="214">
        <f>J14+1</f>
        <v>42762</v>
      </c>
      <c r="N14" s="215" t="s">
        <v>16</v>
      </c>
      <c r="O14" s="215"/>
      <c r="P14" s="52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53"/>
      <c r="Q15" s="171"/>
      <c r="R15" s="19">
        <f>IF(Q14&gt;0,Q14-R$6,0)</f>
        <v>0</v>
      </c>
      <c r="S15" s="15"/>
      <c r="T15" s="217"/>
      <c r="U15" s="218"/>
      <c r="V15" s="218"/>
      <c r="W15" s="218"/>
    </row>
    <row r="16" spans="1:23" ht="13.35" customHeight="1" x14ac:dyDescent="0.2">
      <c r="A16" s="214">
        <f>M14+3</f>
        <v>42765</v>
      </c>
      <c r="B16" s="215" t="s">
        <v>16</v>
      </c>
      <c r="C16" s="215"/>
      <c r="D16" s="214">
        <f>A16+1</f>
        <v>42766</v>
      </c>
      <c r="E16" s="215" t="s">
        <v>16</v>
      </c>
      <c r="F16" s="215"/>
      <c r="G16" s="214">
        <f>D16+1</f>
        <v>42767</v>
      </c>
      <c r="H16" s="215" t="s">
        <v>16</v>
      </c>
      <c r="I16" s="215"/>
      <c r="J16" s="214">
        <f>G16+1</f>
        <v>42768</v>
      </c>
      <c r="K16" s="215" t="s">
        <v>16</v>
      </c>
      <c r="L16" s="215"/>
      <c r="M16" s="214">
        <f>J16+1</f>
        <v>42769</v>
      </c>
      <c r="N16" s="215" t="s">
        <v>16</v>
      </c>
      <c r="O16" s="215"/>
      <c r="P16" s="52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53"/>
      <c r="Q17" s="171"/>
      <c r="R17" s="19">
        <f>IF(Q16&gt;0,Q16-R$6,0)</f>
        <v>0</v>
      </c>
      <c r="S17" s="15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42772</v>
      </c>
      <c r="B18" s="221" t="s">
        <v>16</v>
      </c>
      <c r="C18" s="221"/>
      <c r="D18" s="214">
        <f>IF(ISNUMBER(A18),IF(A18+1&lt;=$K$6,A18+1,""),"")</f>
        <v>42773</v>
      </c>
      <c r="E18" s="215" t="s">
        <v>16</v>
      </c>
      <c r="F18" s="215"/>
      <c r="G18" s="214">
        <f>IF(ISNUMBER(D18),IF(D18+1&lt;=$K$6,D18+1,""),"")</f>
        <v>42774</v>
      </c>
      <c r="H18" s="215" t="s">
        <v>16</v>
      </c>
      <c r="I18" s="215"/>
      <c r="J18" s="214">
        <f>IF(ISNUMBER(G18),IF(G18+1&lt;=$K$6,G18+1,""),"")</f>
        <v>42775</v>
      </c>
      <c r="K18" s="215" t="s">
        <v>16</v>
      </c>
      <c r="L18" s="215"/>
      <c r="M18" s="214">
        <f>IF(ISNUMBER(J18),IF(J18+1&lt;=$K$6,J18+1,""),"")</f>
        <v>42776</v>
      </c>
      <c r="N18" s="215" t="s">
        <v>16</v>
      </c>
      <c r="O18" s="215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17"/>
      <c r="U19" s="218"/>
      <c r="V19" s="218"/>
      <c r="W19" s="218"/>
    </row>
    <row r="20" spans="1:23" ht="13.35" customHeight="1" x14ac:dyDescent="0.2">
      <c r="A20" s="214" t="str">
        <f>IF(ISNUMBER(M18),IF(M18+3&gt;$K$6,"",M18+3),"")</f>
        <v/>
      </c>
      <c r="B20" s="222" t="s">
        <v>16</v>
      </c>
      <c r="C20" s="222"/>
      <c r="D20" s="214" t="str">
        <f t="shared" ref="D20:D31" si="1">IF(ISNUMBER(A20),IF(A20+1&lt;=$K$6,A20+1,""),"")</f>
        <v/>
      </c>
      <c r="E20" s="222" t="s">
        <v>16</v>
      </c>
      <c r="F20" s="222"/>
      <c r="G20" s="214" t="str">
        <f t="shared" ref="G20:G31" si="2">IF(ISNUMBER(D20),IF(D20+1&lt;=$K$6,D20+1,""),"")</f>
        <v/>
      </c>
      <c r="H20" s="222" t="s">
        <v>16</v>
      </c>
      <c r="I20" s="222"/>
      <c r="J20" s="214" t="str">
        <f t="shared" ref="J20:J31" si="3">IF(ISNUMBER(G20),IF(G20+1&lt;=$K$6,G20+1,""),"")</f>
        <v/>
      </c>
      <c r="K20" s="222" t="s">
        <v>16</v>
      </c>
      <c r="L20" s="222"/>
      <c r="M20" s="214" t="str">
        <f t="shared" ref="M20:M31" si="4">IF(ISNUMBER(J20),IF(J20+1&lt;=$K$6,J20+1,""),"")</f>
        <v/>
      </c>
      <c r="N20" s="222" t="s">
        <v>16</v>
      </c>
      <c r="O20" s="222"/>
      <c r="P20" s="52"/>
      <c r="Q20" s="225" t="str">
        <f t="shared" si="0"/>
        <v/>
      </c>
      <c r="R20" s="21"/>
      <c r="S20" s="223" t="str">
        <f>IF(ISNUMBER(Q20),IF(R21=0,0,IF(R21&gt;0,"+ "&amp;TEXT(R21,"[hh]:mm"),"- "&amp;TEXT(ABS(R21),"[hh]:mm"))),"")</f>
        <v/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225" t="str">
        <f t="shared" si="0"/>
        <v/>
      </c>
      <c r="R21" s="17" t="str">
        <f>IF(AND(COUNT(A20,D20,G20,J20,M20)=0,COUNT(B21,E21,H21,K21,N21)=0),"",IF(AND(Q20&gt;0,COUNT(A20,D20,G20,J20,M20)&lt;5),0,IF(AND(ISNUMBER(Q20),Q20&gt;0),Q20-R$6,0)))</f>
        <v/>
      </c>
      <c r="S21" s="223" t="str">
        <f>IF(ISNUMBER(A21),IF(R22=0,0,IF(R22&gt;0,"+ "&amp;TEXT(R22,"[hh]:mm"),"- "&amp;TEXT(ABS(R22),"[hh]:mm"))),"")</f>
        <v/>
      </c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22" t="s">
        <v>16</v>
      </c>
      <c r="C22" s="222"/>
      <c r="D22" s="214" t="str">
        <f t="shared" si="1"/>
        <v/>
      </c>
      <c r="E22" s="222" t="s">
        <v>16</v>
      </c>
      <c r="F22" s="222"/>
      <c r="G22" s="214" t="str">
        <f t="shared" si="2"/>
        <v/>
      </c>
      <c r="H22" s="222" t="s">
        <v>16</v>
      </c>
      <c r="I22" s="222"/>
      <c r="J22" s="214" t="str">
        <f t="shared" si="3"/>
        <v/>
      </c>
      <c r="K22" s="222" t="s">
        <v>16</v>
      </c>
      <c r="L22" s="222"/>
      <c r="M22" s="214" t="str">
        <f t="shared" si="4"/>
        <v/>
      </c>
      <c r="N22" s="222" t="s">
        <v>16</v>
      </c>
      <c r="O22" s="222"/>
      <c r="P22" s="52"/>
      <c r="Q22" s="225" t="str">
        <f t="shared" si="0"/>
        <v/>
      </c>
      <c r="R22" s="2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3"/>
      <c r="Q23" s="225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22" t="s">
        <v>16</v>
      </c>
      <c r="C24" s="222"/>
      <c r="D24" s="214" t="str">
        <f t="shared" si="1"/>
        <v/>
      </c>
      <c r="E24" s="222" t="s">
        <v>16</v>
      </c>
      <c r="F24" s="222"/>
      <c r="G24" s="214" t="str">
        <f t="shared" si="2"/>
        <v/>
      </c>
      <c r="H24" s="222" t="s">
        <v>16</v>
      </c>
      <c r="I24" s="222"/>
      <c r="J24" s="214" t="str">
        <f t="shared" si="3"/>
        <v/>
      </c>
      <c r="K24" s="222" t="s">
        <v>16</v>
      </c>
      <c r="L24" s="222"/>
      <c r="M24" s="214" t="str">
        <f t="shared" si="4"/>
        <v/>
      </c>
      <c r="N24" s="222" t="s">
        <v>16</v>
      </c>
      <c r="O24" s="222"/>
      <c r="P24" s="52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  <c r="U25" t="str">
        <f>Q24</f>
        <v/>
      </c>
    </row>
    <row r="26" spans="1:23" ht="13.35" customHeight="1" x14ac:dyDescent="0.2">
      <c r="A26" s="214" t="str">
        <f>IF(ISNUMBER(M24),IF(M24+3&gt;$K$6,"",M24+3),"")</f>
        <v/>
      </c>
      <c r="B26" s="222" t="s">
        <v>16</v>
      </c>
      <c r="C26" s="222"/>
      <c r="D26" s="214" t="str">
        <f t="shared" si="1"/>
        <v/>
      </c>
      <c r="E26" s="222" t="s">
        <v>16</v>
      </c>
      <c r="F26" s="222"/>
      <c r="G26" s="214" t="str">
        <f t="shared" si="2"/>
        <v/>
      </c>
      <c r="H26" s="222" t="s">
        <v>16</v>
      </c>
      <c r="I26" s="222"/>
      <c r="J26" s="214" t="str">
        <f t="shared" si="3"/>
        <v/>
      </c>
      <c r="K26" s="222" t="s">
        <v>16</v>
      </c>
      <c r="L26" s="222"/>
      <c r="M26" s="214" t="str">
        <f t="shared" si="4"/>
        <v/>
      </c>
      <c r="N26" s="222" t="s">
        <v>16</v>
      </c>
      <c r="O26" s="222"/>
      <c r="P26" s="52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  <c r="U27" s="54"/>
    </row>
    <row r="28" spans="1:23" ht="13.35" customHeight="1" x14ac:dyDescent="0.2">
      <c r="A28" s="214" t="str">
        <f>IF(ISNUMBER(M26),IF(M26+3&gt;$K$6,"",M26+3),"")</f>
        <v/>
      </c>
      <c r="B28" s="222" t="s">
        <v>16</v>
      </c>
      <c r="C28" s="222"/>
      <c r="D28" s="214" t="str">
        <f t="shared" si="1"/>
        <v/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thickBot="1" x14ac:dyDescent="0.25">
      <c r="P32" s="7"/>
      <c r="R32" s="55"/>
    </row>
    <row r="33" spans="1:19" ht="56.85" customHeight="1" thickBot="1" x14ac:dyDescent="0.25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37" t="str">
        <f>'Période 1'!Q33</f>
        <v>Solde 
à récupérer*
sur la
période</v>
      </c>
      <c r="R33" s="138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39">
        <f>IF(R33&lt;=0,0,IF(R33&gt;0,TEXT(R33,"[hh]:mm"),"0"))</f>
        <v>0</v>
      </c>
    </row>
    <row r="34" spans="1:19" s="6" customFormat="1" ht="12.95" customHeight="1" thickBot="1" x14ac:dyDescent="0.25">
      <c r="P34" s="7"/>
      <c r="Q34" s="56"/>
      <c r="R34" s="57"/>
      <c r="S34" s="58"/>
    </row>
    <row r="35" spans="1:19" ht="39.75" customHeight="1" thickBot="1" x14ac:dyDescent="0.25">
      <c r="Q35" s="137" t="str">
        <f>'Période 2'!Q35</f>
        <v>Cumul à récupérer 
sur l'année</v>
      </c>
      <c r="R35" s="140">
        <f>IF('Période 2'!R40&lt;0,'Période 2'!R40,R33+'Période 2'!R40)</f>
        <v>0</v>
      </c>
      <c r="S35" s="141">
        <f>IF(R35=0,0,IF(R35&gt;0,"+ "&amp;TEXT(R35,"[hh]:mm"),"Erreur de récupération"))</f>
        <v>0</v>
      </c>
    </row>
    <row r="36" spans="1:19" ht="12.95" customHeight="1" thickBot="1" x14ac:dyDescent="0.25">
      <c r="A36" s="257" t="str">
        <f>'Période 1'!A36</f>
        <v>Récupération des heures</v>
      </c>
      <c r="B36" s="257"/>
      <c r="C36" s="257"/>
      <c r="R36" s="21"/>
    </row>
    <row r="37" spans="1:19" ht="14.25" customHeight="1" x14ac:dyDescent="0.2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53" t="str">
        <f>'Période 1'!Q37:Q38</f>
        <v>Total 
récupéré sur la période</v>
      </c>
      <c r="R37" s="255">
        <f>SUM(F38,I38,L38,O38)</f>
        <v>0</v>
      </c>
      <c r="S37" s="184" t="str">
        <f>IF(R35=0,"Pas d'heures à récupérer",IF(R37&gt;R35,"Vous tentez de récupérer trop d'heures...",TEXT(R37,"[hh]:mm")))</f>
        <v>Pas d'heures à récupérer</v>
      </c>
    </row>
    <row r="38" spans="1:19" ht="45" customHeight="1" thickBot="1" x14ac:dyDescent="0.25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54"/>
      <c r="R38" s="256"/>
      <c r="S38" s="185"/>
    </row>
    <row r="39" spans="1:19" s="6" customFormat="1" ht="12.95" customHeight="1" thickBot="1" x14ac:dyDescent="0.25">
      <c r="C39" s="23"/>
      <c r="P39" s="7"/>
      <c r="Q39" s="37"/>
      <c r="R39" s="55"/>
      <c r="S39" s="23"/>
    </row>
    <row r="40" spans="1:19" ht="19.7" customHeight="1" x14ac:dyDescent="0.2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53" t="str">
        <f>'Période 1'!Q40</f>
        <v>Reste à 
récupérer sur l'année</v>
      </c>
      <c r="R40" s="142">
        <f>R35-R37</f>
        <v>0</v>
      </c>
      <c r="S40" s="190">
        <f>IF(R40&gt;=0,R35-R37,"Erreur de récupération")</f>
        <v>0</v>
      </c>
    </row>
    <row r="41" spans="1:19" s="6" customFormat="1" ht="19.7" customHeight="1" thickBot="1" x14ac:dyDescent="0.25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7"/>
      <c r="Q41" s="254"/>
      <c r="R41" s="143"/>
      <c r="S41" s="191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6">
    <mergeCell ref="A33:O33"/>
    <mergeCell ref="A37:C38"/>
    <mergeCell ref="Q37:Q38"/>
    <mergeCell ref="R37:R38"/>
    <mergeCell ref="A40:O40"/>
    <mergeCell ref="Q40:Q41"/>
    <mergeCell ref="A41:O41"/>
    <mergeCell ref="A36:C36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phoneticPr fontId="6" type="noConversion"/>
  <conditionalFormatting sqref="S8 S10 S12 S14 S16 S18 S20:S30">
    <cfRule type="expression" dxfId="38" priority="2">
      <formula>IF(AND(ISNUMBER(R9),R9&gt;0),TRUE())</formula>
    </cfRule>
    <cfRule type="expression" dxfId="37" priority="3">
      <formula>IF(OR(AND(Q8=0,R9&lt;=0),AND(COUNT(A8,D8,G8,J8,M8)&gt;0,Q8&gt;0,T8=0)),TRUE())</formula>
    </cfRule>
    <cfRule type="expression" dxfId="36" priority="4">
      <formula>IF(AND(COUNT(A8,D8,G8,J8,M8)&lt;5,Q8&gt;0,R9=0),TRUE())</formula>
    </cfRule>
  </conditionalFormatting>
  <conditionalFormatting sqref="S40">
    <cfRule type="expression" dxfId="35" priority="5">
      <formula>IF(R40&lt;&gt;0,TRUE())</formula>
    </cfRule>
    <cfRule type="expression" dxfId="34" priority="6">
      <formula>IF(R40=0,TRUE())</formula>
    </cfRule>
  </conditionalFormatting>
  <conditionalFormatting sqref="S33">
    <cfRule type="expression" dxfId="33" priority="7">
      <formula>IF(R33&gt;0,TRUE())</formula>
    </cfRule>
    <cfRule type="expression" dxfId="32" priority="8">
      <formula>IF(R33&lt;=0,TRUE())</formula>
    </cfRule>
  </conditionalFormatting>
  <conditionalFormatting sqref="S37:S38">
    <cfRule type="expression" dxfId="31" priority="9">
      <formula>IF(R37&gt;R35,TRUE())</formula>
    </cfRule>
    <cfRule type="expression" dxfId="30" priority="10">
      <formula>IF(R37&lt;=R35,TRUE())</formula>
    </cfRule>
  </conditionalFormatting>
  <conditionalFormatting sqref="S35">
    <cfRule type="expression" dxfId="29" priority="11">
      <formula>IF(R35&gt;0,TRUE())</formula>
    </cfRule>
    <cfRule type="cellIs" dxfId="28" priority="12" operator="equal">
      <formula>"Erreur de récupération"</formula>
    </cfRule>
    <cfRule type="expression" dxfId="27" priority="13">
      <formula>IF(R35&lt;=0,TRUE())</formula>
    </cfRule>
  </conditionalFormatting>
  <conditionalFormatting sqref="U2">
    <cfRule type="expression" dxfId="26" priority="21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9 P11 P13 P15 P17 P19 P21 P23 P25 P27 P29 P31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000000000000007" right="0.39000000000000007" top="0.59" bottom="0.59" header="0.51" footer="0.51"/>
  <pageSetup paperSize="9" scale="69" firstPageNumber="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8576"/>
  <sheetViews>
    <sheetView showGridLines="0" workbookViewId="0">
      <selection activeCell="J7" sqref="J7:L7"/>
    </sheetView>
  </sheetViews>
  <sheetFormatPr baseColWidth="10" defaultColWidth="8.85546875" defaultRowHeight="12.75" x14ac:dyDescent="0.2"/>
  <cols>
    <col min="17" max="17" width="11" bestFit="1" customWidth="1"/>
    <col min="18" max="18" width="0" hidden="1"/>
  </cols>
  <sheetData>
    <row r="1" spans="1:23" ht="15" customHeight="1" x14ac:dyDescent="0.2">
      <c r="A1" s="192" t="s">
        <v>0</v>
      </c>
      <c r="B1" s="192"/>
      <c r="C1" s="19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>SNUipp-FSU 56</v>
      </c>
      <c r="N1" s="195"/>
      <c r="O1" s="196"/>
      <c r="Q1" s="35"/>
      <c r="R1" s="35"/>
    </row>
    <row r="2" spans="1:23" ht="15" customHeight="1" x14ac:dyDescent="0.2">
      <c r="A2" s="192" t="s">
        <v>1</v>
      </c>
      <c r="B2" s="192"/>
      <c r="C2" s="19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snu56@snuipp.fr</v>
      </c>
      <c r="N2" s="199"/>
      <c r="O2" s="200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02 97 21 03 41</v>
      </c>
      <c r="N3" s="203"/>
      <c r="O3" s="204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4"/>
      <c r="C5" s="4"/>
      <c r="D5" s="5"/>
      <c r="E5" s="5"/>
      <c r="F5" s="5"/>
      <c r="G5" s="5"/>
      <c r="H5" s="5"/>
      <c r="I5" s="5"/>
      <c r="J5" s="5"/>
      <c r="K5" s="5"/>
      <c r="R5" s="42"/>
      <c r="U5" s="201"/>
      <c r="V5" s="201"/>
      <c r="W5" s="201"/>
    </row>
    <row r="6" spans="1:23" ht="21" customHeight="1" x14ac:dyDescent="0.3">
      <c r="A6" s="236" t="str">
        <f>'Période 1'!A6</f>
        <v>2016-2017</v>
      </c>
      <c r="B6" s="236"/>
      <c r="C6" s="236"/>
      <c r="D6" s="252" t="str">
        <f>'Période 1'!D6</f>
        <v>Zone B</v>
      </c>
      <c r="E6" s="252"/>
      <c r="F6" s="252"/>
      <c r="G6" s="118" t="str">
        <f>'Période 1'!G6</f>
        <v>du</v>
      </c>
      <c r="H6" s="211">
        <f>Gestion!B12</f>
        <v>42793</v>
      </c>
      <c r="I6" s="211"/>
      <c r="J6" s="118" t="str">
        <f>'Période 1'!J6</f>
        <v>au</v>
      </c>
      <c r="K6" s="211">
        <f>IF(WEEKDAY(Gestion!B13)=7,Gestion!B13-1,Gestion!B13)</f>
        <v>42832</v>
      </c>
      <c r="L6" s="211"/>
      <c r="M6" s="212" t="str">
        <f>(COUNT(A8:A30)+COUNT(D8:D30)+COUNT(G8:G30)+COUNT(J8:J30)+COUNT(M8:M30))/5&amp;" semaines"</f>
        <v>6 semaines</v>
      </c>
      <c r="N6" s="212"/>
      <c r="O6" s="212"/>
      <c r="P6" s="60"/>
      <c r="Q6" s="67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9" t="s">
        <v>14</v>
      </c>
      <c r="R7" s="119"/>
      <c r="S7" s="119" t="s">
        <v>15</v>
      </c>
    </row>
    <row r="8" spans="1:23" ht="13.35" customHeight="1" x14ac:dyDescent="0.2">
      <c r="A8" s="214">
        <f>IF(WEEKDAY(Gestion!B12)=2,Gestion!B12,"")</f>
        <v>42793</v>
      </c>
      <c r="B8" s="215" t="s">
        <v>16</v>
      </c>
      <c r="C8" s="215"/>
      <c r="D8" s="214">
        <f>IF(AND(COUNT(A8)=0,WEEKDAY(Gestion!$B12)&lt;&gt;3),"",IF(WEEKDAY(Gestion!$B12)=3,Gestion!$B12,A8+1))</f>
        <v>42794</v>
      </c>
      <c r="E8" s="215" t="s">
        <v>16</v>
      </c>
      <c r="F8" s="215"/>
      <c r="G8" s="214">
        <f>IF(AND(COUNT(D8)=0,WEEKDAY(Gestion!$B12)&lt;&gt;4),"",IF(WEEKDAY(Gestion!$B12)=4,Gestion!$B12,D8+1))</f>
        <v>42795</v>
      </c>
      <c r="H8" s="215" t="s">
        <v>16</v>
      </c>
      <c r="I8" s="215"/>
      <c r="J8" s="214">
        <f>IF(AND(COUNT(G8)=0,WEEKDAY(Gestion!$B12)&lt;&gt;5),"",IF(WEEKDAY(Gestion!$B12)=5,Gestion!$B12,G8+1))</f>
        <v>42796</v>
      </c>
      <c r="K8" s="215" t="s">
        <v>16</v>
      </c>
      <c r="L8" s="215"/>
      <c r="M8" s="214">
        <f>IF(AND(COUNT(J8)=0,WEEKDAY(Gestion!$B12)&lt;&gt;6),"",IF(WEEKDAY(Gestion!$B12)=6,Gestion!$B12,J8+1))</f>
        <v>42797</v>
      </c>
      <c r="N8" s="215" t="s">
        <v>16</v>
      </c>
      <c r="O8" s="215"/>
      <c r="P8" s="51"/>
      <c r="Q8" s="164">
        <f>(IF(ISNUMBER(B9),B9,0)+IF(ISNUMBER(E9),E9,0)+IF(ISNUMBER(J9),J9,0)+IF(ISNUMBER(H9),H9,0)+IF(ISNUMBER(K9),K9,0)+IF(ISNUMBER(N9),N9,0))</f>
        <v>0</v>
      </c>
      <c r="R8" s="120"/>
      <c r="S8" s="144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71"/>
      <c r="R9" s="17">
        <f>IF(AND(Q8&gt;0,COUNT(A8,D8,G8,J8,M8)&lt;5),0,IF(AND(ISNUMBER(Q8),Q8&gt;0),Q8-R$6,0))</f>
        <v>0</v>
      </c>
      <c r="S9" s="15"/>
      <c r="T9" s="217"/>
      <c r="U9" s="218"/>
      <c r="V9" s="218"/>
      <c r="W9" s="218"/>
    </row>
    <row r="10" spans="1:23" ht="13.35" customHeight="1" x14ac:dyDescent="0.2">
      <c r="A10" s="214">
        <f>M8+3</f>
        <v>42800</v>
      </c>
      <c r="B10" s="215" t="s">
        <v>16</v>
      </c>
      <c r="C10" s="215"/>
      <c r="D10" s="214">
        <f>A10+1</f>
        <v>42801</v>
      </c>
      <c r="E10" s="215" t="s">
        <v>16</v>
      </c>
      <c r="F10" s="215"/>
      <c r="G10" s="214">
        <f>D10+1</f>
        <v>42802</v>
      </c>
      <c r="H10" s="215" t="s">
        <v>16</v>
      </c>
      <c r="I10" s="215"/>
      <c r="J10" s="214">
        <f>G10+1</f>
        <v>42803</v>
      </c>
      <c r="K10" s="215" t="s">
        <v>16</v>
      </c>
      <c r="L10" s="215"/>
      <c r="M10" s="214">
        <f>J10+1</f>
        <v>42804</v>
      </c>
      <c r="N10" s="215" t="s">
        <v>16</v>
      </c>
      <c r="O10" s="215"/>
      <c r="P10" s="51"/>
      <c r="Q10" s="164">
        <f>(IF(ISNUMBER(B11),B11,0)+IF(ISNUMBER(E11),E11,0)+IF(ISNUMBER(J11),J11,0)+IF(ISNUMBER(H11),H11,0)+IF(ISNUMBER(K11),K11,0)+IF(ISNUMBER(N11),N11,0))</f>
        <v>0</v>
      </c>
      <c r="R10" s="121"/>
      <c r="S10" s="144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71"/>
      <c r="R11" s="19">
        <f>IF(Q10&gt;0,Q10-R$6,0)</f>
        <v>0</v>
      </c>
      <c r="S11" s="15"/>
      <c r="T11" s="217"/>
      <c r="U11" s="218"/>
      <c r="V11" s="218"/>
      <c r="W11" s="218"/>
    </row>
    <row r="12" spans="1:23" ht="13.35" customHeight="1" x14ac:dyDescent="0.2">
      <c r="A12" s="214">
        <f>M10+3</f>
        <v>42807</v>
      </c>
      <c r="B12" s="215" t="s">
        <v>16</v>
      </c>
      <c r="C12" s="215"/>
      <c r="D12" s="214">
        <f>A12+1</f>
        <v>42808</v>
      </c>
      <c r="E12" s="215" t="s">
        <v>16</v>
      </c>
      <c r="F12" s="215"/>
      <c r="G12" s="214">
        <f>D12+1</f>
        <v>42809</v>
      </c>
      <c r="H12" s="215" t="s">
        <v>16</v>
      </c>
      <c r="I12" s="215"/>
      <c r="J12" s="214">
        <f>G12+1</f>
        <v>42810</v>
      </c>
      <c r="K12" s="215" t="s">
        <v>16</v>
      </c>
      <c r="L12" s="215"/>
      <c r="M12" s="214">
        <f>J12+1</f>
        <v>42811</v>
      </c>
      <c r="N12" s="215" t="s">
        <v>16</v>
      </c>
      <c r="O12" s="215"/>
      <c r="P12" s="51"/>
      <c r="Q12" s="164">
        <f>(IF(ISNUMBER(B13),B13,0)+IF(ISNUMBER(E13),E13,0)+IF(ISNUMBER(J13),J13,0)+IF(ISNUMBER(H13),H13,0)+IF(ISNUMBER(K13),K13,0)+IF(ISNUMBER(N13),N13,0))</f>
        <v>0</v>
      </c>
      <c r="R12" s="121"/>
      <c r="S12" s="144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71"/>
      <c r="R13" s="19">
        <f>IF(Q12&gt;0,Q12-R$6,0)</f>
        <v>0</v>
      </c>
      <c r="S13" s="15"/>
      <c r="T13" s="217"/>
      <c r="U13" s="218"/>
      <c r="V13" s="218"/>
      <c r="W13" s="218"/>
    </row>
    <row r="14" spans="1:23" ht="13.35" customHeight="1" x14ac:dyDescent="0.2">
      <c r="A14" s="214">
        <f>M12+3</f>
        <v>42814</v>
      </c>
      <c r="B14" s="215" t="s">
        <v>16</v>
      </c>
      <c r="C14" s="215"/>
      <c r="D14" s="214">
        <f>A14+1</f>
        <v>42815</v>
      </c>
      <c r="E14" s="215" t="s">
        <v>16</v>
      </c>
      <c r="F14" s="215"/>
      <c r="G14" s="214">
        <f>D14+1</f>
        <v>42816</v>
      </c>
      <c r="H14" s="215" t="s">
        <v>16</v>
      </c>
      <c r="I14" s="215"/>
      <c r="J14" s="214">
        <f>G14+1</f>
        <v>42817</v>
      </c>
      <c r="K14" s="215" t="s">
        <v>16</v>
      </c>
      <c r="L14" s="215"/>
      <c r="M14" s="214">
        <f>J14+1</f>
        <v>42818</v>
      </c>
      <c r="N14" s="215" t="s">
        <v>16</v>
      </c>
      <c r="O14" s="215"/>
      <c r="P14" s="51"/>
      <c r="Q14" s="164">
        <f>(IF(ISNUMBER(B15),B15,0)+IF(ISNUMBER(E15),E15,0)+IF(ISNUMBER(J15),J15,0)+IF(ISNUMBER(H15),H15,0)+IF(ISNUMBER(K15),K15,0)+IF(ISNUMBER(N15),N15,0))</f>
        <v>0</v>
      </c>
      <c r="R14" s="121"/>
      <c r="S14" s="144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71"/>
      <c r="R15" s="19">
        <f>IF(Q14&gt;0,Q14-R$6,0)</f>
        <v>0</v>
      </c>
      <c r="S15" s="15"/>
      <c r="T15" s="217"/>
      <c r="U15" s="218"/>
      <c r="V15" s="218"/>
      <c r="W15" s="218"/>
    </row>
    <row r="16" spans="1:23" ht="13.35" customHeight="1" x14ac:dyDescent="0.2">
      <c r="A16" s="214">
        <f>M14+3</f>
        <v>42821</v>
      </c>
      <c r="B16" s="215" t="s">
        <v>16</v>
      </c>
      <c r="C16" s="215"/>
      <c r="D16" s="214">
        <f>A16+1</f>
        <v>42822</v>
      </c>
      <c r="E16" s="215" t="s">
        <v>16</v>
      </c>
      <c r="F16" s="215"/>
      <c r="G16" s="214">
        <f>D16+1</f>
        <v>42823</v>
      </c>
      <c r="H16" s="215" t="s">
        <v>16</v>
      </c>
      <c r="I16" s="215"/>
      <c r="J16" s="214">
        <f>G16+1</f>
        <v>42824</v>
      </c>
      <c r="K16" s="215" t="s">
        <v>16</v>
      </c>
      <c r="L16" s="215"/>
      <c r="M16" s="214">
        <f>J16+1</f>
        <v>42825</v>
      </c>
      <c r="N16" s="215" t="s">
        <v>16</v>
      </c>
      <c r="O16" s="215"/>
      <c r="P16" s="51"/>
      <c r="Q16" s="164">
        <f>(IF(ISNUMBER(B17),B17,0)+IF(ISNUMBER(E17),E17,0)+IF(ISNUMBER(J17),J17,0)+IF(ISNUMBER(H17),H17,0)+IF(ISNUMBER(K17),K17,0)+IF(ISNUMBER(N17),N17,0))</f>
        <v>0</v>
      </c>
      <c r="R16" s="121"/>
      <c r="S16" s="144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71"/>
      <c r="R17" s="19">
        <f>IF(Q16&gt;0,Q16-R$6,0)</f>
        <v>0</v>
      </c>
      <c r="S17" s="15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42828</v>
      </c>
      <c r="B18" s="221" t="s">
        <v>16</v>
      </c>
      <c r="C18" s="221"/>
      <c r="D18" s="214">
        <f>IF(ISNUMBER(A18),IF(A18+1&lt;=$K$6,A18+1,""),"")</f>
        <v>42829</v>
      </c>
      <c r="E18" s="215" t="s">
        <v>16</v>
      </c>
      <c r="F18" s="215"/>
      <c r="G18" s="214">
        <f>IF(ISNUMBER(D18),IF(D18+1&lt;=$K$6,D18+1,""),"")</f>
        <v>42830</v>
      </c>
      <c r="H18" s="215" t="s">
        <v>16</v>
      </c>
      <c r="I18" s="215"/>
      <c r="J18" s="214">
        <f>IF(ISNUMBER(G18),IF(G18+1&lt;=$K$6,G18+1,""),"")</f>
        <v>42831</v>
      </c>
      <c r="K18" s="215" t="s">
        <v>16</v>
      </c>
      <c r="L18" s="215"/>
      <c r="M18" s="214">
        <f>IF(ISNUMBER(J18),IF(J18+1&lt;=$K$6,J18+1,""),"")</f>
        <v>42832</v>
      </c>
      <c r="N18" s="215" t="s">
        <v>16</v>
      </c>
      <c r="O18" s="215"/>
      <c r="P18" s="52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6">
        <f>IF(ISNUMBER(Q18),IF(R19=0,0,IF(R19&gt;0,"+ "&amp;TEXT(R19,"[hh]:mm"),"- "&amp;TEXT(ABS(R19),"[hh]:mm"))),"")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53"/>
      <c r="Q19" s="2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15"/>
      <c r="T19" s="217"/>
      <c r="U19" s="218"/>
      <c r="V19" s="218"/>
      <c r="W19" s="218"/>
    </row>
    <row r="20" spans="1:23" ht="13.35" customHeight="1" x14ac:dyDescent="0.2">
      <c r="A20" s="214" t="str">
        <f>IF(ISNUMBER(M18),IF(M18+3&gt;$K$6,"",M18+3),"")</f>
        <v/>
      </c>
      <c r="B20" s="222" t="s">
        <v>16</v>
      </c>
      <c r="C20" s="222"/>
      <c r="D20" s="214" t="str">
        <f t="shared" ref="D20:D31" si="1">IF(ISNUMBER(A20),IF(A20+1&lt;=$K$6,A20+1,""),"")</f>
        <v/>
      </c>
      <c r="E20" s="222" t="s">
        <v>16</v>
      </c>
      <c r="F20" s="222"/>
      <c r="G20" s="214" t="str">
        <f t="shared" ref="G20:G31" si="2">IF(ISNUMBER(D20),IF(D20+1&lt;=$K$6,D20+1,""),"")</f>
        <v/>
      </c>
      <c r="H20" s="222" t="s">
        <v>16</v>
      </c>
      <c r="I20" s="222"/>
      <c r="J20" s="214" t="str">
        <f t="shared" ref="J20:J31" si="3">IF(ISNUMBER(G20),IF(G20+1&lt;=$K$6,G20+1,""),"")</f>
        <v/>
      </c>
      <c r="K20" s="222" t="s">
        <v>16</v>
      </c>
      <c r="L20" s="222"/>
      <c r="M20" s="214" t="str">
        <f t="shared" ref="M20:M31" si="4">IF(ISNUMBER(J20),IF(J20+1&lt;=$K$6,J20+1,""),"")</f>
        <v/>
      </c>
      <c r="N20" s="222" t="s">
        <v>16</v>
      </c>
      <c r="O20" s="222"/>
      <c r="P20" s="52"/>
      <c r="Q20" s="225" t="str">
        <f t="shared" si="0"/>
        <v/>
      </c>
      <c r="R20" s="21"/>
      <c r="S20" s="223" t="str">
        <f>IF(ISNUMBER(Q20),IF(R21=0,0,IF(R21&gt;0,"+ "&amp;TEXT(R21,"[hh]:mm"),"- "&amp;TEXT(ABS(R21),"[hh]:mm"))),"")</f>
        <v/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225" t="str">
        <f t="shared" si="0"/>
        <v/>
      </c>
      <c r="R21" s="17" t="str">
        <f>IF(AND(COUNT(A20,D20,G20,J20,M20)=0,COUNT(B21,E21,H21,K21,N21)=0),"",IF(AND(Q20&gt;0,COUNT(A20,D20,G20,J20,M20)&lt;5),0,IF(AND(ISNUMBER(Q20),Q20&gt;0),Q20-R$6,0)))</f>
        <v/>
      </c>
      <c r="S21" s="223" t="str">
        <f>IF(ISNUMBER(A21),IF(R22=0,0,IF(R22&gt;0,"+ "&amp;TEXT(R22,"[hh]:mm"),"- "&amp;TEXT(ABS(R22),"[hh]:mm"))),"")</f>
        <v/>
      </c>
      <c r="T21" s="217"/>
      <c r="U21" s="218"/>
      <c r="V21" s="218"/>
      <c r="W21" s="218"/>
    </row>
    <row r="22" spans="1:23" ht="13.35" customHeight="1" x14ac:dyDescent="0.2">
      <c r="A22" s="214" t="str">
        <f>IF(ISNUMBER(M20),IF(M20+3&gt;$K$6,"",M20+3),"")</f>
        <v/>
      </c>
      <c r="B22" s="222" t="s">
        <v>16</v>
      </c>
      <c r="C22" s="222"/>
      <c r="D22" s="214" t="str">
        <f t="shared" si="1"/>
        <v/>
      </c>
      <c r="E22" s="222" t="s">
        <v>16</v>
      </c>
      <c r="F22" s="222"/>
      <c r="G22" s="214" t="str">
        <f t="shared" si="2"/>
        <v/>
      </c>
      <c r="H22" s="222" t="s">
        <v>16</v>
      </c>
      <c r="I22" s="222"/>
      <c r="J22" s="214" t="str">
        <f t="shared" si="3"/>
        <v/>
      </c>
      <c r="K22" s="222" t="s">
        <v>16</v>
      </c>
      <c r="L22" s="222"/>
      <c r="M22" s="214" t="str">
        <f t="shared" si="4"/>
        <v/>
      </c>
      <c r="N22" s="222" t="s">
        <v>16</v>
      </c>
      <c r="O22" s="222"/>
      <c r="P22" s="52"/>
      <c r="Q22" s="225" t="str">
        <f t="shared" si="0"/>
        <v/>
      </c>
      <c r="R22" s="21"/>
      <c r="S22" s="223" t="str">
        <f>IF(ISNUMBER(Q22),IF(R23=0,0,IF(R23&gt;0,"+ "&amp;TEXT(R23,"[hh]:mm"),"- "&amp;TEXT(ABS(R23),"[hh]:mm"))),"")</f>
        <v/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3"/>
      <c r="Q23" s="225" t="str">
        <f t="shared" si="0"/>
        <v/>
      </c>
      <c r="R23" s="17" t="str">
        <f>IF(AND(COUNT(A22,D22,G22,J22,M22)=0,COUNT(B23,E23,H23,K23,N23)=0),"",IF(AND(Q22&gt;0,COUNT(A22,D22,G22,J22,M22)&lt;5),0,IF(AND(ISNUMBER(Q22),Q22&gt;0),Q22-R$6,0)))</f>
        <v/>
      </c>
      <c r="S23" s="223" t="str">
        <f>IF(ISNUMBER(A23),IF(R24=0,0,IF(R24&gt;0,"+ "&amp;TEXT(R24,"[hh]:mm"),"- "&amp;TEXT(ABS(R24),"[hh]:mm"))),"")</f>
        <v/>
      </c>
      <c r="T23" s="217"/>
    </row>
    <row r="24" spans="1:23" ht="13.35" customHeight="1" x14ac:dyDescent="0.2">
      <c r="A24" s="214" t="str">
        <f>IF(ISNUMBER(M22),IF(M22+3&gt;$K$6,"",M22+3),"")</f>
        <v/>
      </c>
      <c r="B24" s="222" t="s">
        <v>16</v>
      </c>
      <c r="C24" s="222"/>
      <c r="D24" s="214" t="str">
        <f t="shared" si="1"/>
        <v/>
      </c>
      <c r="E24" s="222" t="s">
        <v>16</v>
      </c>
      <c r="F24" s="222"/>
      <c r="G24" s="214" t="str">
        <f t="shared" si="2"/>
        <v/>
      </c>
      <c r="H24" s="222" t="s">
        <v>16</v>
      </c>
      <c r="I24" s="222"/>
      <c r="J24" s="214" t="str">
        <f t="shared" si="3"/>
        <v/>
      </c>
      <c r="K24" s="222" t="s">
        <v>16</v>
      </c>
      <c r="L24" s="222"/>
      <c r="M24" s="214" t="str">
        <f t="shared" si="4"/>
        <v/>
      </c>
      <c r="N24" s="222" t="s">
        <v>16</v>
      </c>
      <c r="O24" s="222"/>
      <c r="P24" s="52"/>
      <c r="Q24" s="225" t="str">
        <f t="shared" si="0"/>
        <v/>
      </c>
      <c r="R24" s="21"/>
      <c r="S24" s="223" t="str">
        <f>IF(ISNUMBER(Q24),IF(R25=0,0,IF(R25&gt;0,"+ "&amp;TEXT(R25,"[hh]:mm"),"- "&amp;TEXT(ABS(R25),"[hh]:mm"))),"")</f>
        <v/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225" t="str">
        <f t="shared" si="0"/>
        <v/>
      </c>
      <c r="R25" s="17" t="str">
        <f>IF(AND(COUNT(A24,D24,G24,J24,M24)=0,COUNT(B25,E25,H25,K25,N25)=0),"",IF(AND(Q24&gt;0,COUNT(A24,D24,G24,J24,M24)&lt;5),0,IF(AND(ISNUMBER(Q24),Q24&gt;0),Q24-R$6,0)))</f>
        <v/>
      </c>
      <c r="S25" s="223" t="str">
        <f t="shared" ref="S25:S31" si="5">IF(ISNUMBER(A25),IF(R26=0,0,IF(R26&gt;0,"+ "&amp;TEXT(R26,"[hh]:mm"),"- "&amp;TEXT(ABS(R26),"[hh]:mm"))),"")</f>
        <v/>
      </c>
      <c r="T25" s="217"/>
    </row>
    <row r="26" spans="1:23" ht="13.35" customHeight="1" x14ac:dyDescent="0.2">
      <c r="A26" s="214" t="str">
        <f>IF(ISNUMBER(M24),IF(M24+3&gt;$K$6,"",M24+3),"")</f>
        <v/>
      </c>
      <c r="B26" s="222" t="s">
        <v>16</v>
      </c>
      <c r="C26" s="222"/>
      <c r="D26" s="214" t="str">
        <f t="shared" si="1"/>
        <v/>
      </c>
      <c r="E26" s="222" t="s">
        <v>16</v>
      </c>
      <c r="F26" s="222"/>
      <c r="G26" s="214" t="str">
        <f t="shared" si="2"/>
        <v/>
      </c>
      <c r="H26" s="222" t="s">
        <v>16</v>
      </c>
      <c r="I26" s="222"/>
      <c r="J26" s="214" t="str">
        <f t="shared" si="3"/>
        <v/>
      </c>
      <c r="K26" s="222" t="s">
        <v>16</v>
      </c>
      <c r="L26" s="222"/>
      <c r="M26" s="214" t="str">
        <f t="shared" si="4"/>
        <v/>
      </c>
      <c r="N26" s="222" t="s">
        <v>16</v>
      </c>
      <c r="O26" s="222"/>
      <c r="P26" s="52"/>
      <c r="Q26" s="225" t="str">
        <f t="shared" si="0"/>
        <v/>
      </c>
      <c r="R26" s="21"/>
      <c r="S26" s="223" t="str">
        <f t="shared" si="5"/>
        <v/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225" t="str">
        <f t="shared" si="0"/>
        <v/>
      </c>
      <c r="R27" s="17" t="str">
        <f>IF(AND(COUNT(A26,D26,G26,J26,M26)=0,COUNT(B27,E27,H27,K27,N27)=0),"",IF(AND(Q26&gt;0,COUNT(A26,D26,G26,J26,M26)&lt;5),0,IF(AND(ISNUMBER(Q26),Q26&gt;0),Q26-R$6,0)))</f>
        <v/>
      </c>
      <c r="S27" s="223" t="str">
        <f t="shared" si="5"/>
        <v/>
      </c>
      <c r="T27" s="217"/>
    </row>
    <row r="28" spans="1:23" ht="13.35" customHeight="1" x14ac:dyDescent="0.2">
      <c r="A28" s="214" t="str">
        <f>IF(ISNUMBER(M26),IF(M26+3&gt;$K$6,"",M26+3),"")</f>
        <v/>
      </c>
      <c r="B28" s="222" t="s">
        <v>16</v>
      </c>
      <c r="C28" s="222"/>
      <c r="D28" s="214" t="str">
        <f t="shared" si="1"/>
        <v/>
      </c>
      <c r="E28" s="222" t="s">
        <v>16</v>
      </c>
      <c r="F28" s="222"/>
      <c r="G28" s="214" t="str">
        <f t="shared" si="2"/>
        <v/>
      </c>
      <c r="H28" s="222" t="s">
        <v>16</v>
      </c>
      <c r="I28" s="222"/>
      <c r="J28" s="214" t="str">
        <f t="shared" si="3"/>
        <v/>
      </c>
      <c r="K28" s="222" t="s">
        <v>16</v>
      </c>
      <c r="L28" s="222"/>
      <c r="M28" s="214" t="str">
        <f t="shared" si="4"/>
        <v/>
      </c>
      <c r="N28" s="222" t="s">
        <v>16</v>
      </c>
      <c r="O28" s="222"/>
      <c r="P28" s="52"/>
      <c r="Q28" s="226" t="str">
        <f t="shared" si="0"/>
        <v/>
      </c>
      <c r="R28" s="21"/>
      <c r="S28" s="223" t="str">
        <f t="shared" si="5"/>
        <v/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6" t="str">
        <f t="shared" si="0"/>
        <v/>
      </c>
      <c r="R29" s="17" t="str">
        <f>IF(AND(COUNT(A28,D28,G28,J28,M28)=0,COUNT(B29,E29,H29,K29,N29)=0),"",IF(AND(Q28&gt;0,COUNT(A28,D28,G28,J28,M28)&lt;5),0,IF(AND(ISNUMBER(Q28),Q28&gt;0),Q28-R$6,0)))</f>
        <v/>
      </c>
      <c r="S29" s="223" t="str">
        <f t="shared" si="5"/>
        <v/>
      </c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R32" s="55"/>
    </row>
    <row r="33" spans="1:19" ht="56.85" customHeight="1" x14ac:dyDescent="0.2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95" customHeight="1" x14ac:dyDescent="0.2">
      <c r="A34" s="44"/>
      <c r="B34" s="30"/>
      <c r="C34" s="30"/>
      <c r="D34" s="30"/>
      <c r="E34" s="30"/>
      <c r="F34" s="30"/>
      <c r="Q34" s="45"/>
      <c r="R34" s="46"/>
      <c r="S34" s="47"/>
    </row>
    <row r="35" spans="1:19" ht="39.75" customHeight="1" x14ac:dyDescent="0.2">
      <c r="A35" s="228"/>
      <c r="B35" s="228"/>
      <c r="C35" s="228"/>
      <c r="D35" s="228"/>
      <c r="E35" s="29"/>
      <c r="F35" s="27"/>
      <c r="Q35" s="25" t="str">
        <f>'Période 2'!Q35</f>
        <v>Cumul à récupérer 
sur l'année</v>
      </c>
      <c r="R35" s="59">
        <f>IF('Période 3'!R40&lt;0,'Période 3'!R40,R33+'Période 3'!R40)</f>
        <v>0</v>
      </c>
      <c r="S35" s="39">
        <f>IF(R35=0,0,IF(R35&gt;0,"+ "&amp;TEXT(R35,"[hh]:mm"),"Erreur de récupération"))</f>
        <v>0</v>
      </c>
    </row>
    <row r="36" spans="1:19" ht="12.95" customHeight="1" x14ac:dyDescent="0.2">
      <c r="A36" s="147" t="str">
        <f>'Période 1'!A36</f>
        <v>Récupération des heures</v>
      </c>
      <c r="B36" s="122"/>
      <c r="C36" s="122"/>
      <c r="R36" s="21"/>
    </row>
    <row r="37" spans="1:19" ht="14.25" customHeight="1" x14ac:dyDescent="0.2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Q37" s="230" t="str">
        <f>'Période 1'!Q37:Q38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.6" customHeight="1" x14ac:dyDescent="0.2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Q38" s="230"/>
      <c r="R38" s="258"/>
      <c r="S38" s="179"/>
    </row>
    <row r="39" spans="1:19" s="6" customFormat="1" ht="12.95" customHeight="1" x14ac:dyDescent="0.2">
      <c r="C39" s="23"/>
      <c r="Q39" s="37"/>
      <c r="R39" s="55"/>
      <c r="S39" s="23"/>
    </row>
    <row r="40" spans="1:19" ht="19.7" customHeight="1" x14ac:dyDescent="0.2">
      <c r="A40" s="232" t="str">
        <f>'Période 1'!A40</f>
        <v>Solde à récupérer* : voir le Décret n° 2014-942 du 20 août 2014 relatif aux obligations de service des personnels enseignants du premier degré :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Q40" s="230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s="6" customFormat="1" ht="19.7" customHeight="1" x14ac:dyDescent="0.2">
      <c r="A41" s="234" t="str">
        <f>HYPERLINK('Période 1'!A41,'Période 1'!A41)</f>
        <v>http://www.legifrance.gouv.fr/affichTexte.do?cidTexte=JORFTEXT000029390985&amp;dateTexte=&amp;categorieLien=id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Q41" s="230"/>
      <c r="R41" s="152"/>
      <c r="S41" s="160"/>
    </row>
    <row r="42" spans="1:19" ht="13.35" customHeight="1" x14ac:dyDescent="0.2"/>
    <row r="1048576" ht="12.75" customHeight="1" x14ac:dyDescent="0.2"/>
  </sheetData>
  <sheetProtection password="DC15" sheet="1" objects="1" scenarios="1"/>
  <mergeCells count="23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Q28:Q29"/>
    <mergeCell ref="S28:S29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Q26:Q27"/>
    <mergeCell ref="S26:S27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Q24:Q25"/>
    <mergeCell ref="S24:S25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Q22:Q23"/>
    <mergeCell ref="S22:S23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Q20:Q21"/>
    <mergeCell ref="S20:S21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dxfId="25" priority="2">
      <formula>IF(R40&lt;&gt;0,TRUE())</formula>
    </cfRule>
    <cfRule type="expression" dxfId="24" priority="3">
      <formula>IF(R40=0,TRUE())</formula>
    </cfRule>
  </conditionalFormatting>
  <conditionalFormatting sqref="S33">
    <cfRule type="expression" dxfId="23" priority="4">
      <formula>IF(R33&gt;0,TRUE())</formula>
    </cfRule>
    <cfRule type="expression" dxfId="22" priority="5">
      <formula>IF(R33&lt;=0,TRUE())</formula>
    </cfRule>
  </conditionalFormatting>
  <conditionalFormatting sqref="S37:S38">
    <cfRule type="expression" dxfId="21" priority="6">
      <formula>IF(R37&gt;R35,TRUE())</formula>
    </cfRule>
    <cfRule type="expression" dxfId="20" priority="7">
      <formula>IF(R37&lt;=R35,TRUE())</formula>
    </cfRule>
  </conditionalFormatting>
  <conditionalFormatting sqref="S35">
    <cfRule type="expression" dxfId="19" priority="8">
      <formula>IF(R35&gt;0,TRUE())</formula>
    </cfRule>
    <cfRule type="cellIs" dxfId="18" priority="9" operator="equal">
      <formula>"Erreur de récupération"</formula>
    </cfRule>
    <cfRule type="expression" dxfId="17" priority="10">
      <formula>IF(R35&lt;=0,TRUE())</formula>
    </cfRule>
  </conditionalFormatting>
  <conditionalFormatting sqref="S8 S10 S12 S14 S16 S18 S20:S30">
    <cfRule type="expression" dxfId="16" priority="11">
      <formula>IF(AND(ISNUMBER(R9),R9&gt;0),TRUE())</formula>
    </cfRule>
    <cfRule type="expression" dxfId="15" priority="12">
      <formula>IF(OR(AND(Q8=0,R9&lt;=0),AND(COUNT(A8,D8,G8,J8,M8)&gt;0,Q8&gt;0,T8=0)),TRUE())</formula>
    </cfRule>
    <cfRule type="expression" dxfId="14" priority="13">
      <formula>IF(AND(COUNT(A8,D8,G8,J8,M8)&lt;5,Q8&gt;0,R9=0),TRUE())</formula>
    </cfRule>
  </conditionalFormatting>
  <conditionalFormatting sqref="U2">
    <cfRule type="expression" dxfId="13" priority="22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19 P21 P23 P25 P27 P29 P31 F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9:C9 E9:F9 H9:I9 K9:L9 N9:O9 B11:C11 E11:F11 H11:I11 K11:L11 N11:O11 B13:C13 E13:F13 H13:I13 K13:L13 N13:O13 B15:C15 E15:F15 H15:I15 K15:L15 N15:O15 B17:C17 E17:F17 H17:I17 K17:L17 N17:O17 B19:C19 E19:F19 H19:I19 K19:L19 N19:O19 B21:C21 E21:F21 H21:I21 K21:L21 N21:O21 B23:C23 E23:F23 H23:I23 K23:L23 N23:O23 B25:C25 E25:F25 H25:I25 K25:L25 N25:O25 B27:C27 E27:F27 H27:I27 K27:L27 N27:O27 B29:C29 E29:F29 H29:I29 K29:L29 N29:O29 B31:C31 E31:F31 H31:I31 K31:L31 N31:O31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8576"/>
  <sheetViews>
    <sheetView showGridLines="0" workbookViewId="0">
      <selection activeCell="M1" sqref="M1:O1"/>
    </sheetView>
  </sheetViews>
  <sheetFormatPr baseColWidth="10" defaultColWidth="8.85546875" defaultRowHeight="12.75" x14ac:dyDescent="0.2"/>
  <cols>
    <col min="16" max="16" width="8.85546875" style="61"/>
    <col min="17" max="17" width="11" bestFit="1" customWidth="1"/>
    <col min="18" max="18" width="0" hidden="1"/>
    <col min="23" max="23" width="10.28515625" customWidth="1"/>
  </cols>
  <sheetData>
    <row r="1" spans="1:23" ht="15" customHeight="1" x14ac:dyDescent="0.2">
      <c r="A1" s="192" t="s">
        <v>0</v>
      </c>
      <c r="B1" s="192"/>
      <c r="C1" s="192"/>
      <c r="D1" s="235" t="str">
        <f>IF(ISBLANK('Période 1'!D1:K1),"",'Période 1'!D1:K1)</f>
        <v/>
      </c>
      <c r="E1" s="235"/>
      <c r="F1" s="235"/>
      <c r="G1" s="235"/>
      <c r="H1" s="235"/>
      <c r="I1" s="235"/>
      <c r="J1" s="235"/>
      <c r="K1" s="235"/>
      <c r="M1" s="194" t="str">
        <f>Gestion!AC2</f>
        <v>SNUipp-FSU 56</v>
      </c>
      <c r="N1" s="195"/>
      <c r="O1" s="196"/>
      <c r="Q1" s="35"/>
      <c r="R1" s="35"/>
      <c r="U1" s="62" t="str">
        <f>Gestion!B15</f>
        <v>vaqué</v>
      </c>
    </row>
    <row r="2" spans="1:23" ht="15" customHeight="1" x14ac:dyDescent="0.2">
      <c r="A2" s="192" t="s">
        <v>1</v>
      </c>
      <c r="B2" s="192"/>
      <c r="C2" s="192"/>
      <c r="D2" s="235" t="str">
        <f>IF(ISBLANK('Période 1'!D2:K2),"",'Période 1'!D2:K2)</f>
        <v/>
      </c>
      <c r="E2" s="235"/>
      <c r="F2" s="235"/>
      <c r="G2" s="235"/>
      <c r="H2" s="235"/>
      <c r="I2" s="235"/>
      <c r="J2" s="235"/>
      <c r="K2" s="235"/>
      <c r="M2" s="198" t="str">
        <f>HYPERLINK("mailto:"&amp;Gestion!AC3,Gestion!AC3)</f>
        <v>snu56@snuipp.fr</v>
      </c>
      <c r="N2" s="199"/>
      <c r="O2" s="200"/>
      <c r="Q2" s="40"/>
      <c r="R2" s="40"/>
      <c r="U2" s="201" t="str">
        <f>IF(SUM(T8:T32)&gt;0,Gestion!A40,"")</f>
        <v/>
      </c>
      <c r="V2" s="201"/>
      <c r="W2" s="201"/>
    </row>
    <row r="3" spans="1:23" ht="15" customHeight="1" x14ac:dyDescent="0.2">
      <c r="A3" s="192" t="s">
        <v>2</v>
      </c>
      <c r="B3" s="192"/>
      <c r="C3" s="192"/>
      <c r="D3" s="235" t="str">
        <f>IF(ISBLANK('Période 1'!D3:K3),"",'Période 1'!D3:K3)</f>
        <v/>
      </c>
      <c r="E3" s="235"/>
      <c r="F3" s="235"/>
      <c r="G3" s="235"/>
      <c r="H3" s="235"/>
      <c r="I3" s="235"/>
      <c r="J3" s="235"/>
      <c r="K3" s="235"/>
      <c r="M3" s="202" t="str">
        <f>Gestion!AC4</f>
        <v>02 97 21 03 41</v>
      </c>
      <c r="N3" s="203"/>
      <c r="O3" s="204"/>
      <c r="U3" s="201"/>
      <c r="V3" s="201"/>
      <c r="W3" s="201"/>
    </row>
    <row r="4" spans="1:23" ht="15" customHeight="1" thickBot="1" x14ac:dyDescent="0.25">
      <c r="A4" s="192" t="s">
        <v>3</v>
      </c>
      <c r="B4" s="192"/>
      <c r="C4" s="192"/>
      <c r="D4" s="235" t="str">
        <f>IF(ISBLANK('Période 1'!D4:K4),"",'Période 1'!D4:K4)</f>
        <v/>
      </c>
      <c r="E4" s="235"/>
      <c r="F4" s="235"/>
      <c r="G4" s="235"/>
      <c r="H4" s="235"/>
      <c r="I4" s="235"/>
      <c r="J4" s="235"/>
      <c r="K4" s="235"/>
      <c r="M4" s="205" t="str">
        <f>IF(ISBLANK(Gestion!AC5),"",Gestion!AC5)</f>
        <v/>
      </c>
      <c r="N4" s="206"/>
      <c r="O4" s="207"/>
      <c r="U4" s="201"/>
      <c r="V4" s="201"/>
      <c r="W4" s="201"/>
    </row>
    <row r="5" spans="1:23" s="6" customFormat="1" ht="14.25" customHeight="1" x14ac:dyDescent="0.2">
      <c r="A5" s="41" t="str">
        <f>'Période 2'!A5</f>
        <v>Les choix de l'année scolaire et de la zone académique se font dans l'onglet « Période 1 »</v>
      </c>
      <c r="B5" s="23"/>
      <c r="C5" s="23"/>
      <c r="D5" s="5"/>
      <c r="E5" s="5"/>
      <c r="F5" s="5"/>
      <c r="G5" s="5"/>
      <c r="H5" s="5"/>
      <c r="I5" s="5"/>
      <c r="J5" s="5"/>
      <c r="K5" s="5"/>
      <c r="P5" s="63"/>
      <c r="R5" s="42"/>
      <c r="U5" s="201"/>
      <c r="V5" s="201"/>
      <c r="W5" s="201"/>
    </row>
    <row r="6" spans="1:23" ht="21" customHeight="1" x14ac:dyDescent="0.3">
      <c r="A6" s="236" t="str">
        <f>'Période 1'!A6</f>
        <v>2016-2017</v>
      </c>
      <c r="B6" s="236"/>
      <c r="C6" s="236"/>
      <c r="D6" s="252" t="str">
        <f>'Période 1'!D6</f>
        <v>Zone B</v>
      </c>
      <c r="E6" s="252"/>
      <c r="F6" s="252"/>
      <c r="G6" s="118" t="str">
        <f>'Période 1'!G6</f>
        <v>du</v>
      </c>
      <c r="H6" s="211">
        <f>Gestion!B14</f>
        <v>42849</v>
      </c>
      <c r="I6" s="211"/>
      <c r="J6" s="118" t="str">
        <f>'Période 1'!J6</f>
        <v>au</v>
      </c>
      <c r="K6" s="211">
        <f>IF(WEEKDAY(Gestion!B16)=7,Gestion!B16-1,Gestion!B16)</f>
        <v>42923</v>
      </c>
      <c r="L6" s="211"/>
      <c r="M6" s="212" t="str">
        <f>(COUNT(A8:A30)+COUNT(D8:D30)+COUNT(G8:G30)+COUNT(J8:J30)+COUNT(M8:M30))/5&amp;" semaines"</f>
        <v>11 semaines</v>
      </c>
      <c r="N6" s="212"/>
      <c r="O6" s="212"/>
      <c r="P6" s="64"/>
      <c r="Q6" s="9"/>
      <c r="R6" s="10">
        <v>1</v>
      </c>
      <c r="S6" s="67"/>
      <c r="U6" s="201"/>
      <c r="V6" s="201"/>
      <c r="W6" s="201"/>
    </row>
    <row r="7" spans="1:23" s="35" customFormat="1" ht="53.1" customHeight="1" x14ac:dyDescent="0.2">
      <c r="A7" s="213" t="s">
        <v>9</v>
      </c>
      <c r="B7" s="213"/>
      <c r="C7" s="213"/>
      <c r="D7" s="213" t="s">
        <v>10</v>
      </c>
      <c r="E7" s="213"/>
      <c r="F7" s="213"/>
      <c r="G7" s="213" t="s">
        <v>11</v>
      </c>
      <c r="H7" s="213"/>
      <c r="I7" s="213"/>
      <c r="J7" s="213" t="s">
        <v>12</v>
      </c>
      <c r="K7" s="213"/>
      <c r="L7" s="213"/>
      <c r="M7" s="213" t="s">
        <v>13</v>
      </c>
      <c r="N7" s="213"/>
      <c r="O7" s="213"/>
      <c r="P7" s="65"/>
      <c r="Q7" s="119" t="s">
        <v>14</v>
      </c>
      <c r="R7" s="119"/>
      <c r="S7" s="119" t="s">
        <v>15</v>
      </c>
    </row>
    <row r="8" spans="1:23" ht="13.35" customHeight="1" x14ac:dyDescent="0.2">
      <c r="A8" s="214">
        <f>IF(WEEKDAY(Gestion!B14)=2,Gestion!B14,"")</f>
        <v>42849</v>
      </c>
      <c r="B8" s="215" t="s">
        <v>16</v>
      </c>
      <c r="C8" s="215"/>
      <c r="D8" s="214">
        <f>IF(AND(COUNT(A8)=0,WEEKDAY(Gestion!$B14)&lt;&gt;3),"",IF(WEEKDAY(Gestion!$B14)=3,Gestion!$B14,A8+1))</f>
        <v>42850</v>
      </c>
      <c r="E8" s="215" t="s">
        <v>16</v>
      </c>
      <c r="F8" s="215"/>
      <c r="G8" s="214">
        <f>IF(AND(COUNT(D8)=0,WEEKDAY(Gestion!$B14)&lt;&gt;4),"",IF(WEEKDAY(Gestion!$B14)=4,Gestion!$B14,D8+1))</f>
        <v>42851</v>
      </c>
      <c r="H8" s="215" t="s">
        <v>16</v>
      </c>
      <c r="I8" s="215"/>
      <c r="J8" s="214">
        <f>IF(AND(COUNT(G8)=0,WEEKDAY(Gestion!$B14)&lt;&gt;5),"",IF(WEEKDAY(Gestion!$B14)=5,Gestion!$B14,G8+1))</f>
        <v>42852</v>
      </c>
      <c r="K8" s="215" t="s">
        <v>16</v>
      </c>
      <c r="L8" s="215"/>
      <c r="M8" s="214">
        <f>IF(AND(COUNT(J8)=0,WEEKDAY(Gestion!$B14)&lt;&gt;6),"",IF(WEEKDAY(Gestion!$B14)=6,Gestion!$B14,J8+1))</f>
        <v>42853</v>
      </c>
      <c r="N8" s="215" t="s">
        <v>16</v>
      </c>
      <c r="O8" s="215"/>
      <c r="P8" s="13"/>
      <c r="Q8" s="187">
        <f>(IF(ISNUMBER(B9),B9,0)+IF(ISNUMBER(E9),E9,0)+IF(ISNUMBER(J9),J9,0)+IF(ISNUMBER(H9),H9,0)+IF(ISNUMBER(K9),K9,0)+IF(ISNUMBER(N9),N9,0))</f>
        <v>0</v>
      </c>
      <c r="R8" s="120"/>
      <c r="S8" s="157">
        <f>IF(R9=0,0,IF(R9&gt;0,"+ "&amp;TEXT(R9,"[hh]:mm"),"- "&amp;TEXT(ABS(R9),"[hh]:mm")))</f>
        <v>0</v>
      </c>
      <c r="T8" s="217">
        <f>IF(AND(COUNT(A8,D8,G8,J8,M8)&lt;5,Q8&gt;0,R9=0),1,0)</f>
        <v>0</v>
      </c>
      <c r="U8" s="218" t="str">
        <f>'Période 1'!U8</f>
        <v xml:space="preserve">En cas de : congé maladie, grève, jour férié, journée vaquée…
Il faut compter :
- soit le nombre d’heures de l’école de rattachement 
- soit celui de l’école où est effectué le remplacement si celui-ci dure toute la semaine ou bien s’il est encadré par 2 jours de remplacement dans la même école.                                                     </v>
      </c>
      <c r="V8" s="218"/>
      <c r="W8" s="218"/>
    </row>
    <row r="9" spans="1:23" ht="13.35" customHeight="1" x14ac:dyDescent="0.2">
      <c r="A9" s="214"/>
      <c r="B9" s="219"/>
      <c r="C9" s="219"/>
      <c r="D9" s="214"/>
      <c r="E9" s="219"/>
      <c r="F9" s="219"/>
      <c r="G9" s="214"/>
      <c r="H9" s="219"/>
      <c r="I9" s="219"/>
      <c r="J9" s="214"/>
      <c r="K9" s="219"/>
      <c r="L9" s="219"/>
      <c r="M9" s="214"/>
      <c r="N9" s="219"/>
      <c r="O9" s="219"/>
      <c r="P9" s="67"/>
      <c r="Q9" s="188"/>
      <c r="R9" s="17">
        <f>IF(AND(Q8&gt;0,COUNT(A8,D8,G8,J8,M8)&lt;5),0,IF(AND(ISNUMBER(Q8),Q8&gt;0),Q8-R$6,0))</f>
        <v>0</v>
      </c>
      <c r="S9" s="66"/>
      <c r="T9" s="217"/>
      <c r="U9" s="218"/>
      <c r="V9" s="218"/>
      <c r="W9" s="218"/>
    </row>
    <row r="10" spans="1:23" ht="13.35" customHeight="1" x14ac:dyDescent="0.2">
      <c r="A10" s="214">
        <f>M8+3</f>
        <v>42856</v>
      </c>
      <c r="B10" s="215" t="s">
        <v>16</v>
      </c>
      <c r="C10" s="215"/>
      <c r="D10" s="214">
        <f>A10+1</f>
        <v>42857</v>
      </c>
      <c r="E10" s="215" t="s">
        <v>16</v>
      </c>
      <c r="F10" s="215"/>
      <c r="G10" s="214">
        <f>D10+1</f>
        <v>42858</v>
      </c>
      <c r="H10" s="215" t="s">
        <v>16</v>
      </c>
      <c r="I10" s="215"/>
      <c r="J10" s="214">
        <f>G10+1</f>
        <v>42859</v>
      </c>
      <c r="K10" s="215" t="s">
        <v>16</v>
      </c>
      <c r="L10" s="215"/>
      <c r="M10" s="214">
        <f>J10+1</f>
        <v>42860</v>
      </c>
      <c r="N10" s="215" t="s">
        <v>16</v>
      </c>
      <c r="O10" s="215"/>
      <c r="P10" s="13"/>
      <c r="Q10" s="187">
        <f>(IF(ISNUMBER(B11),B11,0)+IF(ISNUMBER(E11),E11,0)+IF(ISNUMBER(J11),J11,0)+IF(ISNUMBER(H11),H11,0)+IF(ISNUMBER(K11),K11,0)+IF(ISNUMBER(N11),N11,0))</f>
        <v>0</v>
      </c>
      <c r="R10" s="121"/>
      <c r="S10" s="157">
        <f>IF(R11=0,0,IF(R11&gt;0,"+ "&amp;TEXT(R11,"[hh]:mm"),"- "&amp;TEXT(ABS(R11),"[hh]:mm")))</f>
        <v>0</v>
      </c>
      <c r="T10" s="217">
        <f>IF(AND(COUNT(A10,D10,G10,J10,M10)&lt;5,Q10&gt;0,R11=0),1,0)</f>
        <v>0</v>
      </c>
      <c r="U10" s="218"/>
      <c r="V10" s="218"/>
      <c r="W10" s="218"/>
    </row>
    <row r="11" spans="1:23" ht="13.35" customHeight="1" x14ac:dyDescent="0.2">
      <c r="A11" s="214"/>
      <c r="B11" s="219"/>
      <c r="C11" s="219"/>
      <c r="D11" s="214"/>
      <c r="E11" s="219"/>
      <c r="F11" s="219"/>
      <c r="G11" s="214"/>
      <c r="H11" s="219"/>
      <c r="I11" s="219"/>
      <c r="J11" s="214"/>
      <c r="K11" s="219"/>
      <c r="L11" s="219"/>
      <c r="M11" s="214"/>
      <c r="N11" s="219"/>
      <c r="O11" s="219"/>
      <c r="P11" s="67"/>
      <c r="Q11" s="188"/>
      <c r="R11" s="19">
        <f>IF(Q10&gt;0,Q10-R$6,0)</f>
        <v>0</v>
      </c>
      <c r="S11" s="66"/>
      <c r="T11" s="217"/>
      <c r="U11" s="218"/>
      <c r="V11" s="218"/>
      <c r="W11" s="218"/>
    </row>
    <row r="12" spans="1:23" ht="13.35" customHeight="1" x14ac:dyDescent="0.2">
      <c r="A12" s="214">
        <f>M10+3</f>
        <v>42863</v>
      </c>
      <c r="B12" s="215" t="s">
        <v>16</v>
      </c>
      <c r="C12" s="215"/>
      <c r="D12" s="214">
        <f>A12+1</f>
        <v>42864</v>
      </c>
      <c r="E12" s="215" t="s">
        <v>16</v>
      </c>
      <c r="F12" s="215"/>
      <c r="G12" s="214">
        <f>D12+1</f>
        <v>42865</v>
      </c>
      <c r="H12" s="215" t="s">
        <v>16</v>
      </c>
      <c r="I12" s="215"/>
      <c r="J12" s="214">
        <f>G12+1</f>
        <v>42866</v>
      </c>
      <c r="K12" s="215" t="s">
        <v>16</v>
      </c>
      <c r="L12" s="215"/>
      <c r="M12" s="214">
        <f>J12+1</f>
        <v>42867</v>
      </c>
      <c r="N12" s="215" t="s">
        <v>16</v>
      </c>
      <c r="O12" s="215"/>
      <c r="P12" s="13"/>
      <c r="Q12" s="187">
        <f>(IF(ISNUMBER(B13),B13,0)+IF(ISNUMBER(E13),E13,0)+IF(ISNUMBER(J13),J13,0)+IF(ISNUMBER(H13),H13,0)+IF(ISNUMBER(K13),K13,0)+IF(ISNUMBER(N13),N13,0))</f>
        <v>0</v>
      </c>
      <c r="R12" s="121"/>
      <c r="S12" s="157">
        <f>IF(R13=0,0,IF(R13&gt;0,"+ "&amp;TEXT(R13,"[hh]:mm"),"- "&amp;TEXT(ABS(R13),"[hh]:mm")))</f>
        <v>0</v>
      </c>
      <c r="T12" s="217">
        <f>IF(AND(COUNT(A12,D12,G12,J12,M12)&lt;5,Q12&gt;0,R13=0),1,0)</f>
        <v>0</v>
      </c>
      <c r="U12" s="218"/>
      <c r="V12" s="218"/>
      <c r="W12" s="218"/>
    </row>
    <row r="13" spans="1:23" ht="13.35" customHeight="1" x14ac:dyDescent="0.2">
      <c r="A13" s="214"/>
      <c r="B13" s="219"/>
      <c r="C13" s="219"/>
      <c r="D13" s="214"/>
      <c r="E13" s="219"/>
      <c r="F13" s="219"/>
      <c r="G13" s="214"/>
      <c r="H13" s="219"/>
      <c r="I13" s="219"/>
      <c r="J13" s="214"/>
      <c r="K13" s="219"/>
      <c r="L13" s="219"/>
      <c r="M13" s="214"/>
      <c r="N13" s="219"/>
      <c r="O13" s="219"/>
      <c r="P13" s="67"/>
      <c r="Q13" s="188"/>
      <c r="R13" s="19">
        <f>IF(Q12&gt;0,Q12-R$6,0)</f>
        <v>0</v>
      </c>
      <c r="S13" s="66"/>
      <c r="T13" s="217"/>
      <c r="U13" s="218"/>
      <c r="V13" s="218"/>
      <c r="W13" s="218"/>
    </row>
    <row r="14" spans="1:23" ht="13.35" customHeight="1" x14ac:dyDescent="0.2">
      <c r="A14" s="214">
        <f>M12+3</f>
        <v>42870</v>
      </c>
      <c r="B14" s="215" t="s">
        <v>16</v>
      </c>
      <c r="C14" s="215"/>
      <c r="D14" s="214">
        <f>A14+1</f>
        <v>42871</v>
      </c>
      <c r="E14" s="215" t="s">
        <v>16</v>
      </c>
      <c r="F14" s="215"/>
      <c r="G14" s="214">
        <f>D14+1</f>
        <v>42872</v>
      </c>
      <c r="H14" s="215" t="s">
        <v>16</v>
      </c>
      <c r="I14" s="215"/>
      <c r="J14" s="214">
        <f>G14+1</f>
        <v>42873</v>
      </c>
      <c r="K14" s="215" t="s">
        <v>16</v>
      </c>
      <c r="L14" s="215"/>
      <c r="M14" s="214">
        <f>J14+1</f>
        <v>42874</v>
      </c>
      <c r="N14" s="215" t="s">
        <v>16</v>
      </c>
      <c r="O14" s="215"/>
      <c r="P14" s="13"/>
      <c r="Q14" s="187">
        <f>(IF(ISNUMBER(B15),B15,0)+IF(ISNUMBER(E15),E15,0)+IF(ISNUMBER(J15),J15,0)+IF(ISNUMBER(H15),H15,0)+IF(ISNUMBER(K15),K15,0)+IF(ISNUMBER(N15),N15,0))</f>
        <v>0</v>
      </c>
      <c r="R14" s="121"/>
      <c r="S14" s="157">
        <f>IF(R15=0,0,IF(R15&gt;0,"+ "&amp;TEXT(R15,"[hh]:mm"),"- "&amp;TEXT(ABS(R15),"[hh]:mm")))</f>
        <v>0</v>
      </c>
      <c r="T14" s="217">
        <f>IF(AND(COUNT(A14,D14,G14,J14,M14)&lt;5,Q14&gt;0,R15=0),1,0)</f>
        <v>0</v>
      </c>
      <c r="U14" s="218"/>
      <c r="V14" s="218"/>
      <c r="W14" s="218"/>
    </row>
    <row r="15" spans="1:23" ht="13.35" customHeight="1" x14ac:dyDescent="0.2">
      <c r="A15" s="214"/>
      <c r="B15" s="219"/>
      <c r="C15" s="219"/>
      <c r="D15" s="214"/>
      <c r="E15" s="219"/>
      <c r="F15" s="219"/>
      <c r="G15" s="214"/>
      <c r="H15" s="219"/>
      <c r="I15" s="219"/>
      <c r="J15" s="214"/>
      <c r="K15" s="219"/>
      <c r="L15" s="219"/>
      <c r="M15" s="214"/>
      <c r="N15" s="219"/>
      <c r="O15" s="219"/>
      <c r="P15" s="67"/>
      <c r="Q15" s="188"/>
      <c r="R15" s="19">
        <f>IF(Q14&gt;0,Q14-R$6,0)</f>
        <v>0</v>
      </c>
      <c r="S15" s="66"/>
      <c r="T15" s="217"/>
      <c r="U15" s="218"/>
      <c r="V15" s="218"/>
      <c r="W15" s="218"/>
    </row>
    <row r="16" spans="1:23" ht="13.35" customHeight="1" x14ac:dyDescent="0.2">
      <c r="A16" s="214">
        <f>M14+3</f>
        <v>42877</v>
      </c>
      <c r="B16" s="215" t="s">
        <v>16</v>
      </c>
      <c r="C16" s="215"/>
      <c r="D16" s="214">
        <f>A16+1</f>
        <v>42878</v>
      </c>
      <c r="E16" s="215" t="s">
        <v>16</v>
      </c>
      <c r="F16" s="215"/>
      <c r="G16" s="214">
        <f>D16+1</f>
        <v>42879</v>
      </c>
      <c r="H16" s="215" t="s">
        <v>16</v>
      </c>
      <c r="I16" s="215"/>
      <c r="J16" s="214">
        <f>G16+1</f>
        <v>42880</v>
      </c>
      <c r="K16" s="215" t="s">
        <v>16</v>
      </c>
      <c r="L16" s="215"/>
      <c r="M16" s="214">
        <f>J16+1</f>
        <v>42881</v>
      </c>
      <c r="N16" s="215" t="s">
        <v>16</v>
      </c>
      <c r="O16" s="215"/>
      <c r="P16" s="13"/>
      <c r="Q16" s="187">
        <f>(IF(ISNUMBER(B17),B17,0)+IF(ISNUMBER(E17),E17,0)+IF(ISNUMBER(J17),J17,0)+IF(ISNUMBER(H17),H17,0)+IF(ISNUMBER(K17),K17,0)+IF(ISNUMBER(N17),N17,0))</f>
        <v>0</v>
      </c>
      <c r="R16" s="121"/>
      <c r="S16" s="157">
        <f>IF(R17=0,0,IF(R17&gt;0,"+ "&amp;TEXT(R17,"[hh]:mm"),"- "&amp;TEXT(ABS(R17),"[hh]:mm")))</f>
        <v>0</v>
      </c>
      <c r="T16" s="217">
        <f>IF(AND(COUNT(A16,D16,G16,J16,M16)&lt;5,Q16&gt;0,R17=0),1,0)</f>
        <v>0</v>
      </c>
      <c r="U16" s="218"/>
      <c r="V16" s="218"/>
      <c r="W16" s="218"/>
    </row>
    <row r="17" spans="1:23" ht="13.35" customHeight="1" x14ac:dyDescent="0.2">
      <c r="A17" s="214"/>
      <c r="B17" s="219"/>
      <c r="C17" s="219"/>
      <c r="D17" s="214"/>
      <c r="E17" s="219"/>
      <c r="F17" s="219"/>
      <c r="G17" s="214"/>
      <c r="H17" s="219"/>
      <c r="I17" s="219"/>
      <c r="J17" s="214"/>
      <c r="K17" s="219"/>
      <c r="L17" s="219"/>
      <c r="M17" s="214"/>
      <c r="N17" s="219"/>
      <c r="O17" s="219"/>
      <c r="P17" s="67"/>
      <c r="Q17" s="188"/>
      <c r="R17" s="19">
        <f>IF(Q16&gt;0,Q16-R$6,0)</f>
        <v>0</v>
      </c>
      <c r="S17" s="66"/>
      <c r="T17" s="217"/>
      <c r="U17" s="218"/>
      <c r="V17" s="218"/>
      <c r="W17" s="218"/>
    </row>
    <row r="18" spans="1:23" ht="13.35" customHeight="1" x14ac:dyDescent="0.2">
      <c r="A18" s="214">
        <f>IF(ISNUMBER(M16),IF(M16+3&gt;$K$6,"",M16+3),"")</f>
        <v>42884</v>
      </c>
      <c r="B18" s="215" t="s">
        <v>16</v>
      </c>
      <c r="C18" s="215"/>
      <c r="D18" s="214">
        <f>IF(ISNUMBER(A18),IF(A18+1&lt;=$K$6,A18+1,""),"")</f>
        <v>42885</v>
      </c>
      <c r="E18" s="215" t="s">
        <v>16</v>
      </c>
      <c r="F18" s="215"/>
      <c r="G18" s="214">
        <f>IF(ISNUMBER(D18),IF(D18+1&lt;=$K$6,D18+1,""),"")</f>
        <v>42886</v>
      </c>
      <c r="H18" s="215" t="s">
        <v>16</v>
      </c>
      <c r="I18" s="215"/>
      <c r="J18" s="214">
        <f>IF(ISNUMBER(G18),IF(G18+1&lt;=$K$6,G18+1,""),"")</f>
        <v>42887</v>
      </c>
      <c r="K18" s="215" t="s">
        <v>16</v>
      </c>
      <c r="L18" s="215"/>
      <c r="M18" s="214">
        <f>IF(ISNUMBER(J18),IF(J18+1&lt;=$K$6,J18+1,""),"")</f>
        <v>42888</v>
      </c>
      <c r="N18" s="215" t="s">
        <v>16</v>
      </c>
      <c r="O18" s="215"/>
      <c r="P18" s="13"/>
      <c r="Q18" s="175">
        <f t="shared" ref="Q18:Q31" si="0">IF(AND(COUNT(A18,D18,G18,J18,M18)=0,COUNT(B19,E19,H19,K19,N19)=0),"",IF(COUNT(B19,E19,H19,K19,N19)=0,0,IF(ISNUMBER(A18),B19,0)+IF(ISNUMBER(D18),E19,0)+IF(ISNUMBER(G18),H19,0)+IF(ISNUMBER(J18),K19,0)+IF(ISNUMBER(M18),N19,0)))</f>
        <v>0</v>
      </c>
      <c r="R18" s="121"/>
      <c r="S18" s="157">
        <f>IF(R19=0,0,IF(R19&gt;0,"+ "&amp;TEXT(R19,"[hh]:mm"),"- "&amp;TEXT(ABS(R19),"[hh]:mm")))</f>
        <v>0</v>
      </c>
      <c r="T18" s="217">
        <f>IF(AND(COUNT(A18,D18,G18,J18,M18)&lt;5,Q18&gt;0,R19=0),1,0)</f>
        <v>0</v>
      </c>
      <c r="U18" s="218"/>
      <c r="V18" s="218"/>
      <c r="W18" s="218"/>
    </row>
    <row r="19" spans="1:23" ht="13.35" customHeight="1" x14ac:dyDescent="0.2">
      <c r="A19" s="214"/>
      <c r="B19" s="219"/>
      <c r="C19" s="219"/>
      <c r="D19" s="214"/>
      <c r="E19" s="219"/>
      <c r="F19" s="219"/>
      <c r="G19" s="214"/>
      <c r="H19" s="219"/>
      <c r="I19" s="219"/>
      <c r="J19" s="214"/>
      <c r="K19" s="219"/>
      <c r="L19" s="219"/>
      <c r="M19" s="214"/>
      <c r="N19" s="219"/>
      <c r="O19" s="219"/>
      <c r="P19" s="67"/>
      <c r="Q19" s="180" t="str">
        <f t="shared" si="0"/>
        <v/>
      </c>
      <c r="R19" s="17">
        <f>IF(AND(COUNT(A18,D18,G18,J18,M18)=0,COUNT(B19,E19,H19,K19,N19)=0),"",IF(AND(Q18&gt;0,COUNT(A18,D18,G18,J18,M18)&lt;5),0,IF(AND(ISNUMBER(Q18),Q18&gt;0),Q18-R$6,0)))</f>
        <v>0</v>
      </c>
      <c r="S19" s="66"/>
      <c r="T19" s="217"/>
      <c r="U19" s="218"/>
      <c r="V19" s="218"/>
      <c r="W19" s="218"/>
    </row>
    <row r="20" spans="1:23" ht="13.35" customHeight="1" x14ac:dyDescent="0.2">
      <c r="A20" s="214">
        <f>IF(ISNUMBER(M18),IF(M18+3&gt;$K$6,"",M18+3),"")</f>
        <v>42891</v>
      </c>
      <c r="B20" s="222" t="s">
        <v>16</v>
      </c>
      <c r="C20" s="222"/>
      <c r="D20" s="214">
        <f t="shared" ref="D20:D31" si="1">IF(ISNUMBER(A20),IF(A20+1&lt;=$K$6,A20+1,""),"")</f>
        <v>42892</v>
      </c>
      <c r="E20" s="222" t="s">
        <v>16</v>
      </c>
      <c r="F20" s="222"/>
      <c r="G20" s="214">
        <f t="shared" ref="G20:G31" si="2">IF(ISNUMBER(D20),IF(D20+1&lt;=$K$6,D20+1,""),"")</f>
        <v>42893</v>
      </c>
      <c r="H20" s="222" t="s">
        <v>16</v>
      </c>
      <c r="I20" s="222"/>
      <c r="J20" s="214">
        <f t="shared" ref="J20:J31" si="3">IF(ISNUMBER(G20),IF(G20+1&lt;=$K$6,G20+1,""),"")</f>
        <v>42894</v>
      </c>
      <c r="K20" s="222" t="s">
        <v>16</v>
      </c>
      <c r="L20" s="222"/>
      <c r="M20" s="214">
        <f t="shared" ref="M20:M31" si="4">IF(ISNUMBER(J20),IF(J20+1&lt;=$K$6,J20+1,""),"")</f>
        <v>42895</v>
      </c>
      <c r="N20" s="222" t="s">
        <v>16</v>
      </c>
      <c r="O20" s="222"/>
      <c r="P20" s="52"/>
      <c r="Q20" s="175">
        <f t="shared" si="0"/>
        <v>0</v>
      </c>
      <c r="R20" s="122"/>
      <c r="S20" s="158">
        <f>IF(ISNUMBER(Q20),IF(R21=0,0,IF(R21&gt;0,"+ "&amp;TEXT(R21,"[hh]:mm"),"- "&amp;TEXT(ABS(R21),"[hh]:mm"))),"")</f>
        <v>0</v>
      </c>
      <c r="T20" s="217">
        <f>IF(AND(COUNT(A20,D20,G20,J20,M20)&lt;5,Q20&gt;0,R21=0),1,0)</f>
        <v>0</v>
      </c>
      <c r="U20" s="218"/>
      <c r="V20" s="218"/>
      <c r="W20" s="218"/>
    </row>
    <row r="21" spans="1:23" ht="13.35" customHeight="1" x14ac:dyDescent="0.2">
      <c r="A21" s="214"/>
      <c r="B21" s="219"/>
      <c r="C21" s="219"/>
      <c r="D21" s="214" t="str">
        <f t="shared" si="1"/>
        <v/>
      </c>
      <c r="E21" s="219"/>
      <c r="F21" s="219"/>
      <c r="G21" s="214" t="str">
        <f t="shared" si="2"/>
        <v/>
      </c>
      <c r="H21" s="219"/>
      <c r="I21" s="219"/>
      <c r="J21" s="214" t="str">
        <f t="shared" si="3"/>
        <v/>
      </c>
      <c r="K21" s="219"/>
      <c r="L21" s="219"/>
      <c r="M21" s="214" t="str">
        <f t="shared" si="4"/>
        <v/>
      </c>
      <c r="N21" s="219"/>
      <c r="O21" s="219"/>
      <c r="P21" s="53"/>
      <c r="Q21" s="180" t="str">
        <f t="shared" si="0"/>
        <v/>
      </c>
      <c r="R21" s="17">
        <f>IF(AND(COUNT(A20,D20,G20,J20,M20)=0,COUNT(B21,E21,H21,K21,N21)=0),"",IF(AND(Q20&gt;0,COUNT(A20,D20,G20,J20,M20)&lt;5),0,IF(AND(ISNUMBER(Q20),Q20&gt;0),Q20-R$6,0)))</f>
        <v>0</v>
      </c>
      <c r="S21" s="66"/>
      <c r="T21" s="217"/>
      <c r="U21" s="218"/>
      <c r="V21" s="218"/>
      <c r="W21" s="218"/>
    </row>
    <row r="22" spans="1:23" ht="13.35" customHeight="1" x14ac:dyDescent="0.2">
      <c r="A22" s="214">
        <f>IF(ISNUMBER(M20),IF(M20+3&gt;$K$6,"",M20+3),"")</f>
        <v>42898</v>
      </c>
      <c r="B22" s="222" t="s">
        <v>16</v>
      </c>
      <c r="C22" s="222"/>
      <c r="D22" s="214">
        <f t="shared" si="1"/>
        <v>42899</v>
      </c>
      <c r="E22" s="222" t="s">
        <v>16</v>
      </c>
      <c r="F22" s="222"/>
      <c r="G22" s="214">
        <f t="shared" si="2"/>
        <v>42900</v>
      </c>
      <c r="H22" s="222" t="s">
        <v>16</v>
      </c>
      <c r="I22" s="222"/>
      <c r="J22" s="214">
        <f t="shared" si="3"/>
        <v>42901</v>
      </c>
      <c r="K22" s="222" t="s">
        <v>16</v>
      </c>
      <c r="L22" s="222"/>
      <c r="M22" s="214">
        <f t="shared" si="4"/>
        <v>42902</v>
      </c>
      <c r="N22" s="222" t="s">
        <v>16</v>
      </c>
      <c r="O22" s="222"/>
      <c r="P22" s="52"/>
      <c r="Q22" s="175">
        <f t="shared" si="0"/>
        <v>0</v>
      </c>
      <c r="R22" s="122"/>
      <c r="S22" s="158">
        <f>IF(ISNUMBER(Q22),IF(R23=0,0,IF(R23&gt;0,"+ "&amp;TEXT(R23,"[hh]:mm"),"- "&amp;TEXT(ABS(R23),"[hh]:mm"))),"")</f>
        <v>0</v>
      </c>
      <c r="T22" s="217">
        <f>IF(AND(COUNT(A22,D22,G22,J22,M22)&lt;5,Q22&gt;0,R23=0),1,0)</f>
        <v>0</v>
      </c>
    </row>
    <row r="23" spans="1:23" ht="13.35" customHeight="1" x14ac:dyDescent="0.2">
      <c r="A23" s="214"/>
      <c r="B23" s="219"/>
      <c r="C23" s="219"/>
      <c r="D23" s="214" t="str">
        <f t="shared" si="1"/>
        <v/>
      </c>
      <c r="E23" s="219"/>
      <c r="F23" s="219"/>
      <c r="G23" s="214" t="str">
        <f t="shared" si="2"/>
        <v/>
      </c>
      <c r="H23" s="219"/>
      <c r="I23" s="219"/>
      <c r="J23" s="214" t="str">
        <f t="shared" si="3"/>
        <v/>
      </c>
      <c r="K23" s="219"/>
      <c r="L23" s="219"/>
      <c r="M23" s="214" t="str">
        <f t="shared" si="4"/>
        <v/>
      </c>
      <c r="N23" s="219"/>
      <c r="O23" s="219"/>
      <c r="P23" s="53"/>
      <c r="Q23" s="180" t="str">
        <f t="shared" si="0"/>
        <v/>
      </c>
      <c r="R23" s="17">
        <f>IF(AND(COUNT(A22,D22,G22,J22,M22)=0,COUNT(B23,E23,H23,K23,N23)=0),"",IF(AND(Q22&gt;0,COUNT(A22,D22,G22,J22,M22)&lt;5),0,IF(AND(ISNUMBER(Q22),Q22&gt;0),Q22-R$6,0)))</f>
        <v>0</v>
      </c>
      <c r="S23" s="66"/>
      <c r="T23" s="217"/>
    </row>
    <row r="24" spans="1:23" ht="13.35" customHeight="1" x14ac:dyDescent="0.2">
      <c r="A24" s="214">
        <f>IF(ISNUMBER(M22),IF(M22+3&gt;$K$6,"",M22+3),"")</f>
        <v>42905</v>
      </c>
      <c r="B24" s="222" t="s">
        <v>16</v>
      </c>
      <c r="C24" s="222"/>
      <c r="D24" s="214">
        <f t="shared" si="1"/>
        <v>42906</v>
      </c>
      <c r="E24" s="222" t="s">
        <v>16</v>
      </c>
      <c r="F24" s="222"/>
      <c r="G24" s="214">
        <f t="shared" si="2"/>
        <v>42907</v>
      </c>
      <c r="H24" s="222" t="s">
        <v>16</v>
      </c>
      <c r="I24" s="222"/>
      <c r="J24" s="214">
        <f t="shared" si="3"/>
        <v>42908</v>
      </c>
      <c r="K24" s="222" t="s">
        <v>16</v>
      </c>
      <c r="L24" s="222"/>
      <c r="M24" s="214">
        <f t="shared" si="4"/>
        <v>42909</v>
      </c>
      <c r="N24" s="222" t="s">
        <v>16</v>
      </c>
      <c r="O24" s="222"/>
      <c r="P24" s="52"/>
      <c r="Q24" s="175">
        <f t="shared" si="0"/>
        <v>0</v>
      </c>
      <c r="R24" s="122"/>
      <c r="S24" s="158">
        <f>IF(ISNUMBER(Q24),IF(R25=0,0,IF(R25&gt;0,"+ "&amp;TEXT(R25,"[hh]:mm"),"- "&amp;TEXT(ABS(R25),"[hh]:mm"))),"")</f>
        <v>0</v>
      </c>
      <c r="T24" s="217">
        <f>IF(AND(COUNT(A24,D24,G24,J24,M24)&lt;5,Q24&gt;0,R25=0),1,0)</f>
        <v>0</v>
      </c>
    </row>
    <row r="25" spans="1:23" ht="13.35" customHeight="1" x14ac:dyDescent="0.2">
      <c r="A25" s="214"/>
      <c r="B25" s="219"/>
      <c r="C25" s="219"/>
      <c r="D25" s="214" t="str">
        <f t="shared" si="1"/>
        <v/>
      </c>
      <c r="E25" s="219"/>
      <c r="F25" s="219"/>
      <c r="G25" s="214" t="str">
        <f t="shared" si="2"/>
        <v/>
      </c>
      <c r="H25" s="219"/>
      <c r="I25" s="219"/>
      <c r="J25" s="214" t="str">
        <f t="shared" si="3"/>
        <v/>
      </c>
      <c r="K25" s="219"/>
      <c r="L25" s="219"/>
      <c r="M25" s="214" t="str">
        <f t="shared" si="4"/>
        <v/>
      </c>
      <c r="N25" s="219"/>
      <c r="O25" s="219"/>
      <c r="P25" s="53"/>
      <c r="Q25" s="180" t="str">
        <f t="shared" si="0"/>
        <v/>
      </c>
      <c r="R25" s="17">
        <f>IF(AND(COUNT(A24,D24,G24,J24,M24)=0,COUNT(B25,E25,H25,K25,N25)=0),"",IF(AND(Q24&gt;0,COUNT(A24,D24,G24,J24,M24)&lt;5),0,IF(AND(ISNUMBER(Q24),Q24&gt;0),Q24-R$6,0)))</f>
        <v>0</v>
      </c>
      <c r="S25" s="66"/>
      <c r="T25" s="217"/>
    </row>
    <row r="26" spans="1:23" ht="13.35" customHeight="1" x14ac:dyDescent="0.2">
      <c r="A26" s="214">
        <f>IF(ISNUMBER(M24),IF(M24+3&gt;$K$6,"",M24+3),"")</f>
        <v>42912</v>
      </c>
      <c r="B26" s="222" t="s">
        <v>16</v>
      </c>
      <c r="C26" s="222"/>
      <c r="D26" s="214">
        <f t="shared" si="1"/>
        <v>42913</v>
      </c>
      <c r="E26" s="222" t="s">
        <v>16</v>
      </c>
      <c r="F26" s="222"/>
      <c r="G26" s="214">
        <f t="shared" si="2"/>
        <v>42914</v>
      </c>
      <c r="H26" s="222" t="s">
        <v>16</v>
      </c>
      <c r="I26" s="222"/>
      <c r="J26" s="214">
        <f t="shared" si="3"/>
        <v>42915</v>
      </c>
      <c r="K26" s="222" t="s">
        <v>16</v>
      </c>
      <c r="L26" s="222"/>
      <c r="M26" s="214">
        <f t="shared" si="4"/>
        <v>42916</v>
      </c>
      <c r="N26" s="222" t="s">
        <v>16</v>
      </c>
      <c r="O26" s="222"/>
      <c r="P26" s="52"/>
      <c r="Q26" s="175">
        <f t="shared" si="0"/>
        <v>0</v>
      </c>
      <c r="R26" s="122"/>
      <c r="S26" s="158">
        <f t="shared" ref="S26:S31" si="5">IF(ISNUMBER(A26),IF(R27=0,0,IF(R27&gt;0,"+ "&amp;TEXT(R27,"[hh]:mm"),"- "&amp;TEXT(ABS(R27),"[hh]:mm"))),"")</f>
        <v>0</v>
      </c>
      <c r="T26" s="217">
        <f>IF(AND(COUNT(A26,D26,G26,J26,M26)&lt;5,Q26&gt;0,R27=0),1,0)</f>
        <v>0</v>
      </c>
    </row>
    <row r="27" spans="1:23" ht="13.35" customHeight="1" x14ac:dyDescent="0.2">
      <c r="A27" s="214"/>
      <c r="B27" s="219"/>
      <c r="C27" s="219"/>
      <c r="D27" s="214" t="str">
        <f t="shared" si="1"/>
        <v/>
      </c>
      <c r="E27" s="219"/>
      <c r="F27" s="219"/>
      <c r="G27" s="214" t="str">
        <f t="shared" si="2"/>
        <v/>
      </c>
      <c r="H27" s="219"/>
      <c r="I27" s="219"/>
      <c r="J27" s="214" t="str">
        <f t="shared" si="3"/>
        <v/>
      </c>
      <c r="K27" s="219"/>
      <c r="L27" s="219"/>
      <c r="M27" s="214" t="str">
        <f t="shared" si="4"/>
        <v/>
      </c>
      <c r="N27" s="219"/>
      <c r="O27" s="219"/>
      <c r="P27" s="53"/>
      <c r="Q27" s="180" t="str">
        <f t="shared" si="0"/>
        <v/>
      </c>
      <c r="R27" s="17">
        <f>IF(AND(COUNT(A26,D26,G26,J26,M26)=0,COUNT(B27,E27,H27,K27,N27)=0),"",IF(AND(Q26&gt;0,COUNT(A26,D26,G26,J26,M26)&lt;5),0,IF(AND(ISNUMBER(Q26),Q26&gt;0),Q26-R$6,0)))</f>
        <v>0</v>
      </c>
      <c r="S27" s="66"/>
      <c r="T27" s="217"/>
    </row>
    <row r="28" spans="1:23" ht="13.35" customHeight="1" x14ac:dyDescent="0.2">
      <c r="A28" s="214">
        <f>IF(ISNUMBER(M26),IF(M26+3&gt;$K$6,"",M26+3),"")</f>
        <v>42919</v>
      </c>
      <c r="B28" s="222" t="s">
        <v>16</v>
      </c>
      <c r="C28" s="222"/>
      <c r="D28" s="214">
        <f t="shared" si="1"/>
        <v>42920</v>
      </c>
      <c r="E28" s="222" t="s">
        <v>16</v>
      </c>
      <c r="F28" s="222"/>
      <c r="G28" s="214">
        <f t="shared" si="2"/>
        <v>42921</v>
      </c>
      <c r="H28" s="222" t="s">
        <v>16</v>
      </c>
      <c r="I28" s="222"/>
      <c r="J28" s="214">
        <f t="shared" si="3"/>
        <v>42922</v>
      </c>
      <c r="K28" s="222" t="s">
        <v>16</v>
      </c>
      <c r="L28" s="222"/>
      <c r="M28" s="214">
        <f t="shared" si="4"/>
        <v>42923</v>
      </c>
      <c r="N28" s="222" t="s">
        <v>16</v>
      </c>
      <c r="O28" s="222"/>
      <c r="P28" s="52"/>
      <c r="Q28" s="175">
        <f t="shared" si="0"/>
        <v>0</v>
      </c>
      <c r="R28" s="122"/>
      <c r="S28" s="158">
        <f t="shared" si="5"/>
        <v>0</v>
      </c>
      <c r="T28" s="217">
        <f>IF(AND(COUNT(A28,D28,G28,J28,M28)&lt;5,Q28&gt;0,R29=0),1,0)</f>
        <v>0</v>
      </c>
    </row>
    <row r="29" spans="1:23" ht="13.35" customHeight="1" x14ac:dyDescent="0.2">
      <c r="A29" s="214"/>
      <c r="B29" s="219"/>
      <c r="C29" s="219"/>
      <c r="D29" s="214" t="str">
        <f t="shared" si="1"/>
        <v/>
      </c>
      <c r="E29" s="219"/>
      <c r="F29" s="219"/>
      <c r="G29" s="214" t="str">
        <f t="shared" si="2"/>
        <v/>
      </c>
      <c r="H29" s="219"/>
      <c r="I29" s="219"/>
      <c r="J29" s="214" t="str">
        <f t="shared" si="3"/>
        <v/>
      </c>
      <c r="K29" s="219"/>
      <c r="L29" s="219"/>
      <c r="M29" s="214" t="str">
        <f t="shared" si="4"/>
        <v/>
      </c>
      <c r="N29" s="219"/>
      <c r="O29" s="219"/>
      <c r="P29" s="53"/>
      <c r="Q29" s="22" t="str">
        <f t="shared" si="0"/>
        <v/>
      </c>
      <c r="R29" s="17">
        <f>IF(AND(COUNT(A28,D28,G28,J28,M28)=0,COUNT(B29,E29,H29,K29,N29)=0),"",IF(AND(Q28&gt;0,COUNT(A28,D28,G28,J28,M28)&lt;5),0,IF(AND(ISNUMBER(Q28),Q28&gt;0),Q28-R$6,0)))</f>
        <v>0</v>
      </c>
      <c r="S29" s="66"/>
      <c r="T29" s="217"/>
    </row>
    <row r="30" spans="1:23" ht="13.35" customHeight="1" x14ac:dyDescent="0.2">
      <c r="A30" s="214" t="str">
        <f>IF(ISNUMBER(M28),IF(M28+3&gt;$K$6,"",M28+3),"")</f>
        <v/>
      </c>
      <c r="B30" s="222" t="s">
        <v>16</v>
      </c>
      <c r="C30" s="222"/>
      <c r="D30" s="214" t="str">
        <f t="shared" si="1"/>
        <v/>
      </c>
      <c r="E30" s="222" t="s">
        <v>16</v>
      </c>
      <c r="F30" s="222"/>
      <c r="G30" s="214" t="str">
        <f t="shared" si="2"/>
        <v/>
      </c>
      <c r="H30" s="222" t="s">
        <v>16</v>
      </c>
      <c r="I30" s="222"/>
      <c r="J30" s="214" t="str">
        <f t="shared" si="3"/>
        <v/>
      </c>
      <c r="K30" s="222" t="s">
        <v>16</v>
      </c>
      <c r="L30" s="222"/>
      <c r="M30" s="214" t="str">
        <f t="shared" si="4"/>
        <v/>
      </c>
      <c r="N30" s="222" t="s">
        <v>16</v>
      </c>
      <c r="O30" s="222"/>
      <c r="P30" s="52"/>
      <c r="Q30" s="225" t="str">
        <f t="shared" si="0"/>
        <v/>
      </c>
      <c r="R30" s="21"/>
      <c r="S30" s="223" t="str">
        <f t="shared" si="5"/>
        <v/>
      </c>
      <c r="T30" s="217">
        <f>IF(AND(COUNT(A30,D30,G30,J30,M30)&lt;5,Q30&gt;0,R31=0),1,0)</f>
        <v>0</v>
      </c>
    </row>
    <row r="31" spans="1:23" ht="13.35" customHeight="1" x14ac:dyDescent="0.2">
      <c r="A31" s="214"/>
      <c r="B31" s="219"/>
      <c r="C31" s="219"/>
      <c r="D31" s="214" t="str">
        <f t="shared" si="1"/>
        <v/>
      </c>
      <c r="E31" s="219"/>
      <c r="F31" s="219"/>
      <c r="G31" s="214" t="str">
        <f t="shared" si="2"/>
        <v/>
      </c>
      <c r="H31" s="219"/>
      <c r="I31" s="219"/>
      <c r="J31" s="214" t="str">
        <f t="shared" si="3"/>
        <v/>
      </c>
      <c r="K31" s="219"/>
      <c r="L31" s="219"/>
      <c r="M31" s="214" t="str">
        <f t="shared" si="4"/>
        <v/>
      </c>
      <c r="N31" s="219"/>
      <c r="O31" s="219"/>
      <c r="P31" s="53"/>
      <c r="Q31" s="225" t="str">
        <f t="shared" si="0"/>
        <v/>
      </c>
      <c r="R31" s="17" t="str">
        <f>IF(AND(COUNT(A30,D30,G30,J30,M30)=0,COUNT(B31,E31,H31,K31,N31)=0),"",IF(AND(Q30&gt;0,COUNT(A30,D30,G30,J30,M30)&lt;5),0,IF(AND(ISNUMBER(Q30),Q30&gt;0),Q30-R$6,0)))</f>
        <v/>
      </c>
      <c r="S31" s="223" t="str">
        <f t="shared" si="5"/>
        <v/>
      </c>
      <c r="T31" s="217"/>
    </row>
    <row r="32" spans="1:23" s="6" customFormat="1" ht="12.95" customHeight="1" x14ac:dyDescent="0.2">
      <c r="P32" s="63"/>
      <c r="R32" s="55"/>
    </row>
    <row r="33" spans="1:19" ht="56.85" customHeight="1" x14ac:dyDescent="0.2">
      <c r="A33" s="227" t="str">
        <f>'Période 1'!A33</f>
        <v>Dans les cellules "école", inscrire pour mémoire, le nom de l'école d'exercice.Dans les cellules bleues, saisir la durée horaire effectuée : Pour 6 h de classe, saisir : 6:00 ; pour 5h30, saisir : 5:30 ; etc …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Q33" s="148" t="str">
        <f>'Période 1'!Q33</f>
        <v>Solde 
à récupérer*
sur la
période</v>
      </c>
      <c r="R33" s="149">
        <f>IF(AND(ISNUMBER(R9),R9&gt;0),R9,0)+IF(AND(ISNUMBER(R11),R11&gt;0),R11,0)+IF(AND(ISNUMBER(R13),R13&gt;0),R13,0)+IF(AND(ISNUMBER(R15),R15&gt;0),R15,0)+IF(AND(ISNUMBER(R17),R17&gt;0),R17,0)+IF(AND(ISNUMBER(R19),R19&gt;0),R19,0)+IF(AND(ISNUMBER(R21),R21&gt;0),R21,0)+IF(AND(ISNUMBER(R23),R23&gt;0),R23,0)+IF(AND(ISNUMBER(R25),R25&gt;0),R25,0)+IF(AND(ISNUMBER(R27),R27&gt;0),R27,0)+IF(AND(ISNUMBER(R29),R29&gt;0),R29,0)+IF(AND(ISNUMBER(R31),R31&gt;0),R31,0)</f>
        <v>0</v>
      </c>
      <c r="S33" s="150">
        <f>IF(R33&lt;=0,0,IF(R33&gt;0,TEXT(R33,"[hh]:mm"),"0"))</f>
        <v>0</v>
      </c>
    </row>
    <row r="34" spans="1:19" ht="12.95" customHeight="1" x14ac:dyDescent="0.2">
      <c r="A34" s="4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Q34" s="45"/>
      <c r="R34" s="46"/>
      <c r="S34" s="47"/>
    </row>
    <row r="35" spans="1:19" ht="39.75" customHeight="1" x14ac:dyDescent="0.2">
      <c r="A35" s="228"/>
      <c r="B35" s="228"/>
      <c r="C35" s="228"/>
      <c r="D35" s="228"/>
      <c r="E35" s="29"/>
      <c r="F35" s="27"/>
      <c r="G35" s="28"/>
      <c r="H35" s="29"/>
      <c r="I35" s="27"/>
      <c r="J35" s="30"/>
      <c r="K35" s="31"/>
      <c r="L35" s="27"/>
      <c r="N35" s="68"/>
      <c r="P35" s="69"/>
      <c r="Q35" s="148" t="str">
        <f>'Période 2'!Q35</f>
        <v>Cumul à récupérer 
sur l'année</v>
      </c>
      <c r="R35" s="153">
        <f>IF('Période 4'!R40&lt;0,'Période 4'!R40,R33+'Période 4'!R40)</f>
        <v>0</v>
      </c>
      <c r="S35" s="154">
        <f>IF(R35=0,0,IF(R35&gt;0,"+ "&amp;TEXT(R35,"[hh]:mm"),"Erreur de récupération"))</f>
        <v>0</v>
      </c>
    </row>
    <row r="36" spans="1:19" ht="13.35" customHeight="1" x14ac:dyDescent="0.2">
      <c r="A36" s="147" t="str">
        <f>'Période 1'!A36</f>
        <v>Récupération des heures</v>
      </c>
      <c r="B36" s="122"/>
      <c r="C36" s="122"/>
      <c r="P36"/>
      <c r="R36" s="21"/>
    </row>
    <row r="37" spans="1:19" ht="14.25" customHeight="1" x14ac:dyDescent="0.2">
      <c r="A37" s="229" t="str">
        <f>'Période 1'!A37</f>
        <v>Indiquer ci-contre les dates (pour mémoire) ainsi que les heures récupérées sur la période.</v>
      </c>
      <c r="B37" s="229"/>
      <c r="C37" s="229"/>
      <c r="E37" s="133" t="s">
        <v>21</v>
      </c>
      <c r="F37" s="133" t="s">
        <v>22</v>
      </c>
      <c r="H37" s="133" t="s">
        <v>21</v>
      </c>
      <c r="I37" s="133" t="s">
        <v>22</v>
      </c>
      <c r="K37" s="133" t="s">
        <v>21</v>
      </c>
      <c r="L37" s="133" t="s">
        <v>22</v>
      </c>
      <c r="N37" s="133" t="s">
        <v>21</v>
      </c>
      <c r="O37" s="133" t="s">
        <v>22</v>
      </c>
      <c r="P37"/>
      <c r="Q37" s="230" t="str">
        <f>'Période 1'!Q37</f>
        <v>Total 
récupéré sur la période</v>
      </c>
      <c r="R37" s="258">
        <f>SUM(F38,I38,L38,O38)</f>
        <v>0</v>
      </c>
      <c r="S37" s="179" t="str">
        <f>IF(R35=0,"Pas d'heures à récupérer",IF(R37&gt;R35,"Vous tentez de récupérer trop d'heures...",TEXT(R37,"[hh]:mm")))</f>
        <v>Pas d'heures à récupérer</v>
      </c>
    </row>
    <row r="38" spans="1:19" ht="42.6" customHeight="1" x14ac:dyDescent="0.2">
      <c r="A38" s="229"/>
      <c r="B38" s="229"/>
      <c r="C38" s="229"/>
      <c r="E38" s="134"/>
      <c r="F38" s="135"/>
      <c r="G38" s="36"/>
      <c r="H38" s="134"/>
      <c r="I38" s="135"/>
      <c r="J38" s="36"/>
      <c r="K38" s="134"/>
      <c r="L38" s="135"/>
      <c r="M38" s="36"/>
      <c r="N38" s="134"/>
      <c r="O38" s="135"/>
      <c r="P38"/>
      <c r="Q38" s="230"/>
      <c r="R38" s="258"/>
      <c r="S38" s="179"/>
    </row>
    <row r="39" spans="1:19" s="6" customFormat="1" ht="12.95" customHeight="1" x14ac:dyDescent="0.2">
      <c r="C39" s="23"/>
      <c r="Q39" s="37"/>
      <c r="R39" s="55"/>
      <c r="S39" s="23"/>
    </row>
    <row r="40" spans="1:19" ht="19.7" customHeight="1" x14ac:dyDescent="0.2">
      <c r="A40" s="259" t="str">
        <f>'Période 1'!A40</f>
        <v>Solde à récupérer* : voir le Décret n° 2014-942 du 20 août 2014 relatif aux obligations de service des personnels enseignants du premier degré :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/>
      <c r="Q40" s="230" t="str">
        <f>'Période 1'!Q40</f>
        <v>Reste à 
récupérer sur l'année</v>
      </c>
      <c r="R40" s="151">
        <f>R35-R37</f>
        <v>0</v>
      </c>
      <c r="S40" s="186">
        <f>IF(R40&gt;=0,R35-R37,"Erreur de récupération")</f>
        <v>0</v>
      </c>
    </row>
    <row r="41" spans="1:19" ht="19.7" customHeight="1" x14ac:dyDescent="0.2">
      <c r="A41" s="260" t="str">
        <f>HYPERLINK('Période 1'!A41,'Période 1'!A41)</f>
        <v>http://www.legifrance.gouv.fr/affichTexte.do?cidTexte=JORFTEXT000029390985&amp;dateTexte=&amp;categorieLien=id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Q41" s="230"/>
      <c r="R41" s="122"/>
      <c r="S41" s="160"/>
    </row>
    <row r="42" spans="1:19" ht="13.35" customHeight="1" x14ac:dyDescent="0.2"/>
    <row r="1048576" ht="12.75" customHeight="1" x14ac:dyDescent="0.2"/>
  </sheetData>
  <sheetProtection password="DC15" sheet="1" objects="1" scenarios="1"/>
  <mergeCells count="226">
    <mergeCell ref="A33:O33"/>
    <mergeCell ref="A35:D35"/>
    <mergeCell ref="A37:C38"/>
    <mergeCell ref="Q37:Q38"/>
    <mergeCell ref="R37:R38"/>
    <mergeCell ref="A40:O40"/>
    <mergeCell ref="Q40:Q41"/>
    <mergeCell ref="A41:O41"/>
    <mergeCell ref="N30:O30"/>
    <mergeCell ref="Q30:Q31"/>
    <mergeCell ref="S30:S31"/>
    <mergeCell ref="T30:T31"/>
    <mergeCell ref="B31:C31"/>
    <mergeCell ref="E31:F31"/>
    <mergeCell ref="H31:I31"/>
    <mergeCell ref="K31:L31"/>
    <mergeCell ref="N31:O31"/>
    <mergeCell ref="A30:A31"/>
    <mergeCell ref="B30:C30"/>
    <mergeCell ref="D30:D31"/>
    <mergeCell ref="E30:F30"/>
    <mergeCell ref="G30:G31"/>
    <mergeCell ref="H30:I30"/>
    <mergeCell ref="J30:J31"/>
    <mergeCell ref="K30:L30"/>
    <mergeCell ref="M30:M31"/>
    <mergeCell ref="N28:O28"/>
    <mergeCell ref="T28:T29"/>
    <mergeCell ref="B29:C29"/>
    <mergeCell ref="E29:F29"/>
    <mergeCell ref="H29:I29"/>
    <mergeCell ref="K29:L29"/>
    <mergeCell ref="N29:O29"/>
    <mergeCell ref="A28:A29"/>
    <mergeCell ref="B28:C28"/>
    <mergeCell ref="D28:D29"/>
    <mergeCell ref="E28:F28"/>
    <mergeCell ref="G28:G29"/>
    <mergeCell ref="H28:I28"/>
    <mergeCell ref="J28:J29"/>
    <mergeCell ref="K28:L28"/>
    <mergeCell ref="M28:M29"/>
    <mergeCell ref="N26:O26"/>
    <mergeCell ref="T26:T27"/>
    <mergeCell ref="B27:C27"/>
    <mergeCell ref="E27:F27"/>
    <mergeCell ref="H27:I27"/>
    <mergeCell ref="K27:L27"/>
    <mergeCell ref="N27:O27"/>
    <mergeCell ref="A26:A27"/>
    <mergeCell ref="B26:C26"/>
    <mergeCell ref="D26:D27"/>
    <mergeCell ref="E26:F26"/>
    <mergeCell ref="G26:G27"/>
    <mergeCell ref="H26:I26"/>
    <mergeCell ref="J26:J27"/>
    <mergeCell ref="K26:L26"/>
    <mergeCell ref="M26:M27"/>
    <mergeCell ref="N24:O24"/>
    <mergeCell ref="T24:T25"/>
    <mergeCell ref="B25:C25"/>
    <mergeCell ref="E25:F25"/>
    <mergeCell ref="H25:I25"/>
    <mergeCell ref="K25:L25"/>
    <mergeCell ref="N25:O25"/>
    <mergeCell ref="A24:A25"/>
    <mergeCell ref="B24:C24"/>
    <mergeCell ref="D24:D25"/>
    <mergeCell ref="E24:F24"/>
    <mergeCell ref="G24:G25"/>
    <mergeCell ref="H24:I24"/>
    <mergeCell ref="J24:J25"/>
    <mergeCell ref="K24:L24"/>
    <mergeCell ref="M24:M25"/>
    <mergeCell ref="N22:O22"/>
    <mergeCell ref="T22:T23"/>
    <mergeCell ref="B23:C23"/>
    <mergeCell ref="E23:F23"/>
    <mergeCell ref="H23:I23"/>
    <mergeCell ref="K23:L23"/>
    <mergeCell ref="N23:O23"/>
    <mergeCell ref="A22:A23"/>
    <mergeCell ref="B22:C22"/>
    <mergeCell ref="D22:D23"/>
    <mergeCell ref="E22:F22"/>
    <mergeCell ref="G22:G23"/>
    <mergeCell ref="H22:I22"/>
    <mergeCell ref="J22:J23"/>
    <mergeCell ref="K22:L22"/>
    <mergeCell ref="M22:M23"/>
    <mergeCell ref="N20:O20"/>
    <mergeCell ref="T20:T21"/>
    <mergeCell ref="B21:C21"/>
    <mergeCell ref="E21:F21"/>
    <mergeCell ref="H21:I21"/>
    <mergeCell ref="K21:L21"/>
    <mergeCell ref="N21:O21"/>
    <mergeCell ref="A20:A21"/>
    <mergeCell ref="B20:C20"/>
    <mergeCell ref="D20:D21"/>
    <mergeCell ref="E20:F20"/>
    <mergeCell ref="G20:G21"/>
    <mergeCell ref="H20:I20"/>
    <mergeCell ref="J20:J21"/>
    <mergeCell ref="K20:L20"/>
    <mergeCell ref="M20:M21"/>
    <mergeCell ref="T18:T19"/>
    <mergeCell ref="B19:C19"/>
    <mergeCell ref="E19:F19"/>
    <mergeCell ref="H19:I19"/>
    <mergeCell ref="K19:L19"/>
    <mergeCell ref="N19:O19"/>
    <mergeCell ref="A18:A19"/>
    <mergeCell ref="B18:C18"/>
    <mergeCell ref="D18:D19"/>
    <mergeCell ref="E18:F18"/>
    <mergeCell ref="G18:G19"/>
    <mergeCell ref="H18:I18"/>
    <mergeCell ref="J18:J19"/>
    <mergeCell ref="K18:L18"/>
    <mergeCell ref="M18:M19"/>
    <mergeCell ref="A16:A17"/>
    <mergeCell ref="B16:C16"/>
    <mergeCell ref="D16:D17"/>
    <mergeCell ref="E16:F16"/>
    <mergeCell ref="G16:G17"/>
    <mergeCell ref="H16:I16"/>
    <mergeCell ref="J16:J17"/>
    <mergeCell ref="K16:L16"/>
    <mergeCell ref="M16:M17"/>
    <mergeCell ref="A14:A15"/>
    <mergeCell ref="B14:C14"/>
    <mergeCell ref="D14:D15"/>
    <mergeCell ref="E14:F14"/>
    <mergeCell ref="G14:G15"/>
    <mergeCell ref="H14:I14"/>
    <mergeCell ref="J14:J15"/>
    <mergeCell ref="K14:L14"/>
    <mergeCell ref="M14:M15"/>
    <mergeCell ref="B15:C15"/>
    <mergeCell ref="E15:F15"/>
    <mergeCell ref="H15:I15"/>
    <mergeCell ref="K15:L15"/>
    <mergeCell ref="A12:A13"/>
    <mergeCell ref="B12:C12"/>
    <mergeCell ref="D12:D13"/>
    <mergeCell ref="E12:F12"/>
    <mergeCell ref="G12:G13"/>
    <mergeCell ref="H12:I12"/>
    <mergeCell ref="J12:J13"/>
    <mergeCell ref="K12:L12"/>
    <mergeCell ref="M12:M13"/>
    <mergeCell ref="B13:C13"/>
    <mergeCell ref="E13:F13"/>
    <mergeCell ref="H13:I13"/>
    <mergeCell ref="K13:L13"/>
    <mergeCell ref="A10:A11"/>
    <mergeCell ref="B10:C10"/>
    <mergeCell ref="D10:D11"/>
    <mergeCell ref="E10:F10"/>
    <mergeCell ref="G10:G11"/>
    <mergeCell ref="H10:I10"/>
    <mergeCell ref="J10:J11"/>
    <mergeCell ref="K10:L10"/>
    <mergeCell ref="M10:M11"/>
    <mergeCell ref="B11:C11"/>
    <mergeCell ref="E11:F11"/>
    <mergeCell ref="H11:I11"/>
    <mergeCell ref="K11:L11"/>
    <mergeCell ref="T8:T9"/>
    <mergeCell ref="U8:W21"/>
    <mergeCell ref="B9:C9"/>
    <mergeCell ref="E9:F9"/>
    <mergeCell ref="H9:I9"/>
    <mergeCell ref="K9:L9"/>
    <mergeCell ref="N9:O9"/>
    <mergeCell ref="N10:O10"/>
    <mergeCell ref="T10:T11"/>
    <mergeCell ref="N11:O11"/>
    <mergeCell ref="N12:O12"/>
    <mergeCell ref="T12:T13"/>
    <mergeCell ref="N13:O13"/>
    <mergeCell ref="N14:O14"/>
    <mergeCell ref="T14:T15"/>
    <mergeCell ref="N15:O15"/>
    <mergeCell ref="N16:O16"/>
    <mergeCell ref="T16:T17"/>
    <mergeCell ref="B17:C17"/>
    <mergeCell ref="E17:F17"/>
    <mergeCell ref="H17:I17"/>
    <mergeCell ref="K17:L17"/>
    <mergeCell ref="N17:O17"/>
    <mergeCell ref="N18:O18"/>
    <mergeCell ref="A7:C7"/>
    <mergeCell ref="D7:F7"/>
    <mergeCell ref="G7:I7"/>
    <mergeCell ref="J7:L7"/>
    <mergeCell ref="M7:O7"/>
    <mergeCell ref="A8:A9"/>
    <mergeCell ref="B8:C8"/>
    <mergeCell ref="D8:D9"/>
    <mergeCell ref="E8:F8"/>
    <mergeCell ref="G8:G9"/>
    <mergeCell ref="H8:I8"/>
    <mergeCell ref="J8:J9"/>
    <mergeCell ref="K8:L8"/>
    <mergeCell ref="M8:M9"/>
    <mergeCell ref="N8:O8"/>
    <mergeCell ref="A1:C1"/>
    <mergeCell ref="D1:K1"/>
    <mergeCell ref="M1:O1"/>
    <mergeCell ref="A2:C2"/>
    <mergeCell ref="D2:K2"/>
    <mergeCell ref="M2:O2"/>
    <mergeCell ref="U2:W6"/>
    <mergeCell ref="A3:C3"/>
    <mergeCell ref="D3:K3"/>
    <mergeCell ref="M3:O3"/>
    <mergeCell ref="A4:C4"/>
    <mergeCell ref="D4:K4"/>
    <mergeCell ref="M4:O4"/>
    <mergeCell ref="A6:C6"/>
    <mergeCell ref="D6:F6"/>
    <mergeCell ref="H6:I6"/>
    <mergeCell ref="K6:L6"/>
    <mergeCell ref="M6:O6"/>
  </mergeCells>
  <conditionalFormatting sqref="S40">
    <cfRule type="expression" dxfId="12" priority="2">
      <formula>IF(R40&lt;&gt;0,TRUE())</formula>
    </cfRule>
    <cfRule type="expression" dxfId="11" priority="3">
      <formula>IF(R40=0,TRUE())</formula>
    </cfRule>
  </conditionalFormatting>
  <conditionalFormatting sqref="S37:S38">
    <cfRule type="expression" dxfId="10" priority="4">
      <formula>IF(R37&gt;R35,TRUE())</formula>
    </cfRule>
    <cfRule type="expression" dxfId="9" priority="5">
      <formula>IF(R37&lt;=R35,TRUE())</formula>
    </cfRule>
  </conditionalFormatting>
  <conditionalFormatting sqref="S33">
    <cfRule type="expression" dxfId="8" priority="6">
      <formula>IF(R33&gt;0,TRUE())</formula>
    </cfRule>
    <cfRule type="expression" dxfId="7" priority="7">
      <formula>IF(R33&lt;=0,TRUE())</formula>
    </cfRule>
  </conditionalFormatting>
  <conditionalFormatting sqref="S35">
    <cfRule type="expression" dxfId="6" priority="8">
      <formula>IF(R35&gt;0,TRUE())</formula>
    </cfRule>
    <cfRule type="cellIs" dxfId="5" priority="9" operator="equal">
      <formula>"Erreur de récupération"</formula>
    </cfRule>
    <cfRule type="expression" dxfId="4" priority="10">
      <formula>IF(R35&lt;=0,TRUE())</formula>
    </cfRule>
  </conditionalFormatting>
  <conditionalFormatting sqref="S8 S10 S12 S14 S16 S18 S20 S22 S24 S26 S28 S30">
    <cfRule type="expression" dxfId="3" priority="14">
      <formula>IF(AND(ISNUMBER(R9),R9&gt;0),TRUE())</formula>
    </cfRule>
    <cfRule type="expression" dxfId="2" priority="15">
      <formula>IF(OR(AND(Q8=0,R9&lt;=0),AND(COUNT(A8,D8,G8,J8,M8)&gt;0,Q8&gt;0,T8=0)),TRUE())</formula>
    </cfRule>
    <cfRule type="expression" dxfId="1" priority="16">
      <formula>IF(AND(COUNT(A8,D8,G8,J8,M8)&lt;5,Q8&gt;0,R9=0),TRUE())</formula>
    </cfRule>
  </conditionalFormatting>
  <conditionalFormatting sqref="U2">
    <cfRule type="expression" dxfId="0" priority="27">
      <formula>IF(SUM(T8:T30)&gt;0,TRUE())</formula>
    </cfRule>
  </conditionalFormatting>
  <dataValidations count="4">
    <dataValidation type="time" allowBlank="1" showErrorMessage="1" errorTitle="Erreur de saisie" error="Soit le format horaire n'est pas respecté, soit l'horaire saisi est ... impossible pour une journée..." sqref="P21 P23 P25 P27 P29 P31 F35 I35 L35">
      <formula1>0.0416666666666667</formula1>
      <formula2>0.25</formula2>
    </dataValidation>
    <dataValidation type="time" operator="lessThanOrEqual" allowBlank="1" showErrorMessage="1" errorTitle="Erreur de saisie ?" error="Soit le format horaire (h:mm) n'est pas respecté..._x000a_Soit l'horaire saisi est ... impossible pour une journée..." sqref="B21:C21 E21:F21 H21:I21 K21:L21 N21:O21 B23:C23 E23:F23 H23:I23 K23:L23 N23:O23 B25:C25 E25:F25 H25:I25 K25:L25 N25:O25 B27:C27 E27:F27 H27:I27 K27:L27 N27:O27 B29:C29 E29:F29 H29:I29 K29:L29 N29:O29 B31:C31 E31:F31 H31:I31 K31:L31 N31:O31 B9:C9 B11:C11 B13:C13 B15:C15 B17:C17 B19:C19 E19:F19 E17:F17 E15:F15 E13:F13 E11:F11 E9:F9 H9:I9 H11:I11 H13:I13 H15:I15 H17:I17 H19:I19 K19:L19 K17:L17 K15:L15 K13:L13 K11:L11 K9:L9 N9:O9 N11:O11 N13:O13 N15:O15 N17:O17 N19:O19">
      <formula1>0.291666666666667</formula1>
      <formula2>0</formula2>
    </dataValidation>
    <dataValidation type="date" allowBlank="1" showInputMessage="1" showErrorMessage="1" errorTitle="Erreur de saisie ?" error="Le format de date (jj/mm/aa) n'a pas été respecté" promptTitle="Date" prompt="Saisir la date au format : jj/mm/aa ou jj/mm/aaaa" sqref="E38 H38 K38 N38">
      <formula1>41883</formula1>
      <formula2>55032</formula2>
    </dataValidation>
    <dataValidation type="time" operator="lessThanOrEqual" allowBlank="1" showInputMessage="1" showErrorMessage="1" errorTitle="Erreur de saisie ?" error="Soit le nombre d'heures est trop élevé pour une journée..._x000a_Soit le format horaire (hh:mm) n'a pas été respecté" promptTitle="Heures récupérées" prompt="Saisir les heures récupérées au format : hh:mm" sqref="F38 I38 L38 O38">
      <formula1>1</formula1>
      <formula2>0</formula2>
    </dataValidation>
  </dataValidations>
  <printOptions horizontalCentered="1"/>
  <pageMargins left="0.39374999999999999" right="0.39374999999999999" top="0.59027777777777801" bottom="0.59027777777777801" header="0.51180555555555496" footer="0.51180555555555496"/>
  <pageSetup paperSize="9" firstPageNumber="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showGridLines="0" zoomScale="80" zoomScaleNormal="80" workbookViewId="0">
      <selection activeCell="D3" sqref="D3"/>
    </sheetView>
  </sheetViews>
  <sheetFormatPr baseColWidth="10" defaultColWidth="8.85546875" defaultRowHeight="12.75" x14ac:dyDescent="0.2"/>
  <cols>
    <col min="1" max="1" width="19.28515625" bestFit="1" customWidth="1"/>
    <col min="2" max="2" width="15.85546875" bestFit="1" customWidth="1"/>
    <col min="3" max="3" width="5.28515625" customWidth="1"/>
    <col min="4" max="4" width="2.28515625" customWidth="1"/>
    <col min="6" max="6" width="3" customWidth="1"/>
    <col min="8" max="8" width="2.28515625" customWidth="1"/>
    <col min="10" max="10" width="2" customWidth="1"/>
    <col min="11" max="11" width="4.85546875" customWidth="1"/>
    <col min="12" max="12" width="3.28515625" customWidth="1"/>
    <col min="14" max="14" width="2.140625" customWidth="1"/>
    <col min="16" max="16" width="3.7109375" customWidth="1"/>
    <col min="18" max="18" width="2.85546875" customWidth="1"/>
    <col min="20" max="20" width="4" customWidth="1"/>
    <col min="22" max="22" width="3.42578125" customWidth="1"/>
    <col min="24" max="24" width="3.85546875" customWidth="1"/>
    <col min="26" max="26" width="4.28515625" customWidth="1"/>
    <col min="28" max="28" width="3" customWidth="1"/>
    <col min="29" max="29" width="26.7109375" customWidth="1"/>
    <col min="30" max="30" width="3.85546875" customWidth="1"/>
  </cols>
  <sheetData>
    <row r="1" spans="1:30" ht="14.85" customHeight="1" x14ac:dyDescent="0.2">
      <c r="A1" s="70" t="s">
        <v>29</v>
      </c>
      <c r="B1" s="71" t="str">
        <f>'Période 1'!D6</f>
        <v>Zone B</v>
      </c>
      <c r="D1" s="261" t="s">
        <v>30</v>
      </c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B1" s="72"/>
      <c r="AC1" s="73" t="s">
        <v>31</v>
      </c>
      <c r="AD1" s="74"/>
    </row>
    <row r="2" spans="1:30" x14ac:dyDescent="0.2">
      <c r="A2" s="75" t="s">
        <v>32</v>
      </c>
      <c r="B2" s="76" t="str">
        <f>'Période 1'!A6</f>
        <v>2016-2017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B2" s="77"/>
      <c r="AC2" s="78" t="s">
        <v>78</v>
      </c>
      <c r="AD2" s="79"/>
    </row>
    <row r="3" spans="1:30" x14ac:dyDescent="0.2">
      <c r="D3" s="80"/>
      <c r="E3" s="262" t="s">
        <v>33</v>
      </c>
      <c r="F3" s="262"/>
      <c r="G3" s="262"/>
      <c r="H3" s="262"/>
      <c r="I3" s="262"/>
      <c r="J3" s="74"/>
      <c r="L3" s="80"/>
      <c r="M3" s="262" t="s">
        <v>34</v>
      </c>
      <c r="N3" s="262"/>
      <c r="O3" s="262"/>
      <c r="P3" s="262"/>
      <c r="Q3" s="262"/>
      <c r="R3" s="74"/>
      <c r="T3" s="80"/>
      <c r="U3" s="262" t="s">
        <v>5</v>
      </c>
      <c r="V3" s="262"/>
      <c r="W3" s="262"/>
      <c r="X3" s="262"/>
      <c r="Y3" s="262"/>
      <c r="Z3" s="74"/>
      <c r="AB3" s="77"/>
      <c r="AC3" s="145" t="s">
        <v>79</v>
      </c>
      <c r="AD3" s="79"/>
    </row>
    <row r="4" spans="1:30" x14ac:dyDescent="0.2">
      <c r="A4" s="263" t="s">
        <v>35</v>
      </c>
      <c r="B4" s="263"/>
      <c r="C4" s="81"/>
      <c r="D4" s="77"/>
      <c r="E4" s="82" t="s">
        <v>6</v>
      </c>
      <c r="F4" s="83"/>
      <c r="G4" s="82" t="s">
        <v>36</v>
      </c>
      <c r="H4" s="84"/>
      <c r="I4" s="82" t="s">
        <v>37</v>
      </c>
      <c r="J4" s="85"/>
      <c r="K4" s="36"/>
      <c r="L4" s="86"/>
      <c r="M4" s="82" t="s">
        <v>38</v>
      </c>
      <c r="N4" s="83"/>
      <c r="O4" s="82" t="s">
        <v>39</v>
      </c>
      <c r="P4" s="84"/>
      <c r="Q4" s="82" t="s">
        <v>40</v>
      </c>
      <c r="R4" s="85"/>
      <c r="S4" s="49"/>
      <c r="T4" s="86"/>
      <c r="U4" s="82" t="s">
        <v>38</v>
      </c>
      <c r="V4" s="83"/>
      <c r="W4" s="82" t="s">
        <v>39</v>
      </c>
      <c r="X4" s="84"/>
      <c r="Y4" s="82" t="s">
        <v>40</v>
      </c>
      <c r="Z4" s="85"/>
      <c r="AB4" s="77"/>
      <c r="AC4" s="87" t="s">
        <v>80</v>
      </c>
      <c r="AD4" s="79"/>
    </row>
    <row r="5" spans="1:30" x14ac:dyDescent="0.2">
      <c r="A5" s="88" t="s">
        <v>41</v>
      </c>
      <c r="B5" s="89">
        <f>HLOOKUP(AnnéeChoisie,D$3:Z$16,3)</f>
        <v>42613</v>
      </c>
      <c r="C5" s="81"/>
      <c r="D5" s="90"/>
      <c r="E5" s="264">
        <v>42247</v>
      </c>
      <c r="F5" s="264"/>
      <c r="G5" s="264"/>
      <c r="H5" s="264"/>
      <c r="I5" s="264"/>
      <c r="J5" s="91"/>
      <c r="K5" s="92"/>
      <c r="L5" s="93"/>
      <c r="M5" s="264">
        <v>42613</v>
      </c>
      <c r="N5" s="264"/>
      <c r="O5" s="264"/>
      <c r="P5" s="264"/>
      <c r="Q5" s="264"/>
      <c r="R5" s="91"/>
      <c r="S5" s="94"/>
      <c r="T5" s="93"/>
      <c r="U5" s="264">
        <v>42979</v>
      </c>
      <c r="V5" s="264"/>
      <c r="W5" s="264"/>
      <c r="X5" s="264"/>
      <c r="Y5" s="264"/>
      <c r="Z5" s="95"/>
      <c r="AB5" s="77"/>
      <c r="AC5" s="96"/>
      <c r="AD5" s="79"/>
    </row>
    <row r="6" spans="1:30" x14ac:dyDescent="0.2">
      <c r="A6" s="88" t="s">
        <v>42</v>
      </c>
      <c r="B6" s="89">
        <f>HLOOKUP(AnnéeChoisie,D$3:Z$16,4)</f>
        <v>42614</v>
      </c>
      <c r="C6" s="97"/>
      <c r="D6" s="90"/>
      <c r="E6" s="265">
        <v>42248</v>
      </c>
      <c r="F6" s="265"/>
      <c r="G6" s="265"/>
      <c r="H6" s="265"/>
      <c r="I6" s="265"/>
      <c r="J6" s="91"/>
      <c r="K6" s="92"/>
      <c r="L6" s="93"/>
      <c r="M6" s="265">
        <v>42614</v>
      </c>
      <c r="N6" s="265"/>
      <c r="O6" s="265"/>
      <c r="P6" s="265"/>
      <c r="Q6" s="265"/>
      <c r="R6" s="91"/>
      <c r="S6" s="94"/>
      <c r="T6" s="93"/>
      <c r="U6" s="265">
        <v>42982</v>
      </c>
      <c r="V6" s="265"/>
      <c r="W6" s="265"/>
      <c r="X6" s="265"/>
      <c r="Y6" s="265"/>
      <c r="Z6" s="95"/>
      <c r="AB6" s="77"/>
      <c r="AC6" s="98"/>
      <c r="AD6" s="79"/>
    </row>
    <row r="7" spans="1:30" ht="14.85" customHeight="1" x14ac:dyDescent="0.2">
      <c r="A7" s="88" t="s">
        <v>43</v>
      </c>
      <c r="B7" s="89">
        <f>HLOOKUP(AnnéeChoisie,D$3:Z$16,5)</f>
        <v>42662</v>
      </c>
      <c r="C7" s="97"/>
      <c r="D7" s="99"/>
      <c r="E7" s="265">
        <v>42294</v>
      </c>
      <c r="F7" s="265"/>
      <c r="G7" s="265"/>
      <c r="H7" s="265"/>
      <c r="I7" s="265"/>
      <c r="J7" s="91"/>
      <c r="K7" s="92"/>
      <c r="L7" s="100"/>
      <c r="M7" s="265">
        <v>42662</v>
      </c>
      <c r="N7" s="265"/>
      <c r="O7" s="265"/>
      <c r="P7" s="265"/>
      <c r="Q7" s="265"/>
      <c r="R7" s="91"/>
      <c r="S7" s="94"/>
      <c r="T7" s="100"/>
      <c r="U7" s="265">
        <v>43029</v>
      </c>
      <c r="V7" s="265"/>
      <c r="W7" s="265"/>
      <c r="X7" s="265"/>
      <c r="Y7" s="265"/>
      <c r="Z7" s="95"/>
      <c r="AB7" s="77"/>
      <c r="AC7" s="266" t="s">
        <v>44</v>
      </c>
      <c r="AD7" s="79"/>
    </row>
    <row r="8" spans="1:30" x14ac:dyDescent="0.2">
      <c r="A8" s="88" t="s">
        <v>45</v>
      </c>
      <c r="B8" s="89">
        <f>HLOOKUP(AnnéeChoisie,D$3:Z$16,6)</f>
        <v>42677</v>
      </c>
      <c r="C8" s="97"/>
      <c r="D8" s="99"/>
      <c r="E8" s="265">
        <v>42310</v>
      </c>
      <c r="F8" s="265"/>
      <c r="G8" s="265"/>
      <c r="H8" s="265"/>
      <c r="I8" s="265"/>
      <c r="J8" s="91"/>
      <c r="K8" s="92"/>
      <c r="L8" s="100"/>
      <c r="M8" s="265">
        <v>42677</v>
      </c>
      <c r="N8" s="265"/>
      <c r="O8" s="265"/>
      <c r="P8" s="265"/>
      <c r="Q8" s="265"/>
      <c r="R8" s="91"/>
      <c r="S8" s="94"/>
      <c r="T8" s="100"/>
      <c r="U8" s="265">
        <v>43045</v>
      </c>
      <c r="V8" s="265"/>
      <c r="W8" s="265"/>
      <c r="X8" s="265"/>
      <c r="Y8" s="265"/>
      <c r="Z8" s="95"/>
      <c r="AB8" s="77"/>
      <c r="AC8" s="266"/>
      <c r="AD8" s="79"/>
    </row>
    <row r="9" spans="1:30" x14ac:dyDescent="0.2">
      <c r="A9" s="88" t="s">
        <v>46</v>
      </c>
      <c r="B9" s="89">
        <f>HLOOKUP(AnnéeChoisie,D$3:Z$16,7)</f>
        <v>42721</v>
      </c>
      <c r="C9" s="97"/>
      <c r="D9" s="99"/>
      <c r="E9" s="265">
        <v>42357</v>
      </c>
      <c r="F9" s="265"/>
      <c r="G9" s="265"/>
      <c r="H9" s="265"/>
      <c r="I9" s="265"/>
      <c r="J9" s="91"/>
      <c r="K9" s="92"/>
      <c r="L9" s="100"/>
      <c r="M9" s="265">
        <v>42721</v>
      </c>
      <c r="N9" s="265"/>
      <c r="O9" s="265"/>
      <c r="P9" s="265"/>
      <c r="Q9" s="265"/>
      <c r="R9" s="91"/>
      <c r="S9" s="94"/>
      <c r="T9" s="100"/>
      <c r="U9" s="265">
        <v>43092</v>
      </c>
      <c r="V9" s="265"/>
      <c r="W9" s="265"/>
      <c r="X9" s="265"/>
      <c r="Y9" s="265"/>
      <c r="Z9" s="95"/>
      <c r="AB9" s="77"/>
      <c r="AC9" s="266"/>
      <c r="AD9" s="79"/>
    </row>
    <row r="10" spans="1:30" x14ac:dyDescent="0.2">
      <c r="A10" s="88" t="s">
        <v>47</v>
      </c>
      <c r="B10" s="89">
        <f>HLOOKUP(AnnéeChoisie,D$3:Z$16,8)</f>
        <v>42738</v>
      </c>
      <c r="C10" s="97"/>
      <c r="D10" s="99"/>
      <c r="E10" s="265">
        <v>42373</v>
      </c>
      <c r="F10" s="265"/>
      <c r="G10" s="265"/>
      <c r="H10" s="265"/>
      <c r="I10" s="265"/>
      <c r="J10" s="91"/>
      <c r="K10" s="92"/>
      <c r="L10" s="100"/>
      <c r="M10" s="265">
        <v>42738</v>
      </c>
      <c r="N10" s="265"/>
      <c r="O10" s="265"/>
      <c r="P10" s="265"/>
      <c r="Q10" s="265"/>
      <c r="R10" s="91"/>
      <c r="S10" s="94"/>
      <c r="T10" s="100"/>
      <c r="U10" s="265">
        <v>43108</v>
      </c>
      <c r="V10" s="265"/>
      <c r="W10" s="265"/>
      <c r="X10" s="265"/>
      <c r="Y10" s="265"/>
      <c r="Z10" s="95"/>
      <c r="AB10" s="77"/>
      <c r="AC10" s="266"/>
      <c r="AD10" s="79"/>
    </row>
    <row r="11" spans="1:30" x14ac:dyDescent="0.2">
      <c r="A11" s="88" t="s">
        <v>48</v>
      </c>
      <c r="B11" s="101">
        <f>IF(AND(AnnéeChoisie=E$3,ZoneChoisie=E$4),E11,IF(AND(AnnéeChoisie=E$3,ZoneChoisie=G$4),G11,IF(AND(AnnéeChoisie=E$3,ZoneChoisie=I$4),I11,IF(AND(AnnéeChoisie=M$3,ZoneChoisie=M$4),M11,IF(AND(AnnéeChoisie=M$3,ZoneChoisie=O$4),O11,IF(AND(AnnéeChoisie=M$3,ZoneChoisie=Q$4),Q11,IF(AND(AnnéeChoisie=U$3,ZoneChoisie=U$4),U11,IF(AND(AnnéeChoisie=U$3,ZoneChoisie=W$4),W11,IF(AND(AnnéeChoisie=U$3,ZoneChoisie=Y$4),Y11)))))))))</f>
        <v>42777</v>
      </c>
      <c r="C11" s="97"/>
      <c r="D11" s="99"/>
      <c r="E11" s="102">
        <v>42413</v>
      </c>
      <c r="F11" s="103"/>
      <c r="G11" s="102">
        <v>42406</v>
      </c>
      <c r="H11" s="103"/>
      <c r="I11" s="102">
        <v>42420</v>
      </c>
      <c r="J11" s="91"/>
      <c r="K11" s="92"/>
      <c r="L11" s="100"/>
      <c r="M11" s="102">
        <v>42784</v>
      </c>
      <c r="N11" s="103"/>
      <c r="O11" s="102">
        <v>42777</v>
      </c>
      <c r="P11" s="103"/>
      <c r="Q11" s="102">
        <v>42770</v>
      </c>
      <c r="R11" s="91"/>
      <c r="S11" s="94"/>
      <c r="T11" s="100"/>
      <c r="U11" s="102">
        <v>43141</v>
      </c>
      <c r="V11" s="103"/>
      <c r="W11" s="102">
        <v>43155</v>
      </c>
      <c r="X11" s="103"/>
      <c r="Y11" s="102">
        <v>43148</v>
      </c>
      <c r="Z11" s="95"/>
      <c r="AB11" s="77"/>
      <c r="AC11" s="266"/>
      <c r="AD11" s="79"/>
    </row>
    <row r="12" spans="1:30" x14ac:dyDescent="0.2">
      <c r="A12" s="88" t="s">
        <v>49</v>
      </c>
      <c r="B12" s="101">
        <f>IF(AND(AnnéeChoisie=E$3,ZoneChoisie=E$4),E12,IF(AND(AnnéeChoisie=E$3,ZoneChoisie=G$4),G12,IF(AND(AnnéeChoisie=E$3,ZoneChoisie=I$4),I12,IF(AND(AnnéeChoisie=M$3,ZoneChoisie=M$4),M12,IF(AND(AnnéeChoisie=M$3,ZoneChoisie=O$4),O12,IF(AND(AnnéeChoisie=M$3,ZoneChoisie=Q$4),Q12,IF(AND(AnnéeChoisie=U$3,ZoneChoisie=U$4),U12,IF(AND(AnnéeChoisie=U$3,ZoneChoisie=W$4),W12,IF(AND(AnnéeChoisie=U$3,ZoneChoisie=Y$4),Y12)))))))))</f>
        <v>42793</v>
      </c>
      <c r="C12" s="97"/>
      <c r="D12" s="99"/>
      <c r="E12" s="102">
        <v>42429</v>
      </c>
      <c r="F12" s="103"/>
      <c r="G12" s="102">
        <v>42422</v>
      </c>
      <c r="H12" s="103"/>
      <c r="I12" s="102">
        <v>42436</v>
      </c>
      <c r="J12" s="91"/>
      <c r="K12" s="92"/>
      <c r="L12" s="100"/>
      <c r="M12" s="102">
        <v>42800</v>
      </c>
      <c r="N12" s="103"/>
      <c r="O12" s="102">
        <v>42793</v>
      </c>
      <c r="P12" s="103"/>
      <c r="Q12" s="102">
        <v>42786</v>
      </c>
      <c r="R12" s="91"/>
      <c r="S12" s="94"/>
      <c r="T12" s="100"/>
      <c r="U12" s="102">
        <v>43157</v>
      </c>
      <c r="V12" s="103"/>
      <c r="W12" s="102">
        <v>43171</v>
      </c>
      <c r="X12" s="103"/>
      <c r="Y12" s="102">
        <v>43164</v>
      </c>
      <c r="Z12" s="95"/>
      <c r="AB12" s="77"/>
      <c r="AC12" s="266"/>
      <c r="AD12" s="79"/>
    </row>
    <row r="13" spans="1:30" x14ac:dyDescent="0.2">
      <c r="A13" s="88" t="s">
        <v>50</v>
      </c>
      <c r="B13" s="101">
        <f>IF(AND(AnnéeChoisie=E$3,ZoneChoisie=E$4),E13,IF(AND(AnnéeChoisie=E$3,ZoneChoisie=G$4),G13,IF(AND(AnnéeChoisie=E$3,ZoneChoisie=I$4),I13,IF(AND(AnnéeChoisie=M$3,ZoneChoisie=M$4),M13,IF(AND(AnnéeChoisie=M$3,ZoneChoisie=O$4),O13,IF(AND(AnnéeChoisie=M$3,ZoneChoisie=Q$4),Q13,IF(AND(AnnéeChoisie=U$3,ZoneChoisie=U$4),U13,IF(AND(AnnéeChoisie=U$3,ZoneChoisie=W$4),W13,IF(AND(AnnéeChoisie=U$3,ZoneChoisie=Y$4),Y13)))))))))</f>
        <v>42833</v>
      </c>
      <c r="C13" s="97"/>
      <c r="D13" s="99"/>
      <c r="E13" s="102">
        <v>42469</v>
      </c>
      <c r="F13" s="103"/>
      <c r="G13" s="102">
        <v>42462</v>
      </c>
      <c r="H13" s="103"/>
      <c r="I13" s="102">
        <v>42476</v>
      </c>
      <c r="J13" s="91"/>
      <c r="K13" s="92"/>
      <c r="L13" s="100"/>
      <c r="M13" s="102">
        <v>42840</v>
      </c>
      <c r="N13" s="103"/>
      <c r="O13" s="102">
        <v>42833</v>
      </c>
      <c r="P13" s="103"/>
      <c r="Q13" s="102">
        <v>42826</v>
      </c>
      <c r="R13" s="91"/>
      <c r="S13" s="94"/>
      <c r="T13" s="100"/>
      <c r="U13" s="102">
        <v>43197</v>
      </c>
      <c r="V13" s="103"/>
      <c r="W13" s="102">
        <v>43211</v>
      </c>
      <c r="X13" s="103"/>
      <c r="Y13" s="102">
        <v>43204</v>
      </c>
      <c r="Z13" s="95"/>
      <c r="AB13" s="77"/>
      <c r="AC13" s="266"/>
      <c r="AD13" s="79"/>
    </row>
    <row r="14" spans="1:30" x14ac:dyDescent="0.2">
      <c r="A14" s="88" t="s">
        <v>51</v>
      </c>
      <c r="B14" s="101">
        <f>IF(AND(AnnéeChoisie=E$3,ZoneChoisie=E$4),E14,IF(AND(AnnéeChoisie=E$3,ZoneChoisie=G$4),G14,IF(AND(AnnéeChoisie=E$3,ZoneChoisie=I$4),I14,IF(AND(AnnéeChoisie=M$3,ZoneChoisie=M$4),M14,IF(AND(AnnéeChoisie=M$3,ZoneChoisie=O$4),O14,IF(AND(AnnéeChoisie=M$3,ZoneChoisie=Q$4),Q14,IF(AND(AnnéeChoisie=U$3,ZoneChoisie=U$4),U14,IF(AND(AnnéeChoisie=U$3,ZoneChoisie=W$4),W14,IF(AND(AnnéeChoisie=U$3,ZoneChoisie=Y$4),Y14)))))))))</f>
        <v>42849</v>
      </c>
      <c r="C14" s="81"/>
      <c r="D14" s="99"/>
      <c r="E14" s="102">
        <v>42485</v>
      </c>
      <c r="F14" s="103"/>
      <c r="G14" s="102">
        <v>42478</v>
      </c>
      <c r="H14" s="103"/>
      <c r="I14" s="102">
        <v>42492</v>
      </c>
      <c r="J14" s="91"/>
      <c r="K14" s="92"/>
      <c r="L14" s="100"/>
      <c r="M14" s="102">
        <v>42857</v>
      </c>
      <c r="N14" s="103"/>
      <c r="O14" s="102">
        <v>42849</v>
      </c>
      <c r="P14" s="103"/>
      <c r="Q14" s="102">
        <v>42843</v>
      </c>
      <c r="R14" s="91"/>
      <c r="S14" s="94"/>
      <c r="T14" s="100"/>
      <c r="U14" s="102">
        <v>43213</v>
      </c>
      <c r="V14" s="103"/>
      <c r="W14" s="102">
        <v>43227</v>
      </c>
      <c r="X14" s="103"/>
      <c r="Y14" s="102">
        <v>43220</v>
      </c>
      <c r="Z14" s="95"/>
      <c r="AB14" s="77"/>
      <c r="AC14" s="266"/>
      <c r="AD14" s="79"/>
    </row>
    <row r="15" spans="1:30" x14ac:dyDescent="0.2">
      <c r="A15" s="88" t="s">
        <v>52</v>
      </c>
      <c r="B15" s="104" t="str">
        <f>IF(AND(AnnéeChoisie=E$3,ZoneChoisie=E$4),E15,IF(AND(AnnéeChoisie=E$3,ZoneChoisie=G$4),G15,IF(AND(AnnéeChoisie=E$3,ZoneChoisie=I$4),I15,IF(AND(AnnéeChoisie=M$3,ZoneChoisie=M$4),M15,IF(AND(AnnéeChoisie=M$3,ZoneChoisie=O$4),O15,IF(AND(AnnéeChoisie=M$3,ZoneChoisie=Q$4),Q15,IF(AND(AnnéeChoisie=U$3,ZoneChoisie=U$4),U15,IF(AND(AnnéeChoisie=U$3,ZoneChoisie=W$4),W15,IF(AND(AnnéeChoisie=U$3,ZoneChoisie=Y$4),Y15)))))))))</f>
        <v>vaqué</v>
      </c>
      <c r="C15" s="81"/>
      <c r="D15" s="90"/>
      <c r="E15" s="105" t="s">
        <v>53</v>
      </c>
      <c r="F15" s="106"/>
      <c r="G15" s="105" t="s">
        <v>53</v>
      </c>
      <c r="H15" s="106"/>
      <c r="I15" s="105" t="s">
        <v>53</v>
      </c>
      <c r="J15" s="91"/>
      <c r="K15" s="92"/>
      <c r="L15" s="93"/>
      <c r="M15" s="105" t="s">
        <v>53</v>
      </c>
      <c r="N15" s="106"/>
      <c r="O15" s="105" t="s">
        <v>53</v>
      </c>
      <c r="P15" s="106"/>
      <c r="Q15" s="105" t="s">
        <v>53</v>
      </c>
      <c r="R15" s="91"/>
      <c r="S15" s="94"/>
      <c r="T15" s="93"/>
      <c r="U15" s="105" t="s">
        <v>54</v>
      </c>
      <c r="V15" s="106"/>
      <c r="W15" s="105" t="s">
        <v>54</v>
      </c>
      <c r="X15" s="106"/>
      <c r="Y15" s="105" t="s">
        <v>54</v>
      </c>
      <c r="Z15" s="95"/>
      <c r="AB15" s="77"/>
      <c r="AC15" s="266"/>
      <c r="AD15" s="79"/>
    </row>
    <row r="16" spans="1:30" x14ac:dyDescent="0.2">
      <c r="A16" s="107" t="s">
        <v>55</v>
      </c>
      <c r="B16" s="108">
        <f>HLOOKUP(AnnéeChoisie,D$3:Z$16,14)</f>
        <v>42924</v>
      </c>
      <c r="D16" s="90"/>
      <c r="E16" s="265">
        <v>42556</v>
      </c>
      <c r="F16" s="265"/>
      <c r="G16" s="265"/>
      <c r="H16" s="265"/>
      <c r="I16" s="265"/>
      <c r="J16" s="91"/>
      <c r="K16" s="92"/>
      <c r="L16" s="93"/>
      <c r="M16" s="265">
        <v>42924</v>
      </c>
      <c r="N16" s="265"/>
      <c r="O16" s="265"/>
      <c r="P16" s="265"/>
      <c r="Q16" s="265"/>
      <c r="R16" s="91"/>
      <c r="S16" s="94"/>
      <c r="T16" s="93"/>
      <c r="U16" s="265">
        <v>43288</v>
      </c>
      <c r="V16" s="265"/>
      <c r="W16" s="265"/>
      <c r="X16" s="265"/>
      <c r="Y16" s="265"/>
      <c r="Z16" s="95"/>
      <c r="AB16" s="77"/>
      <c r="AC16" s="266"/>
      <c r="AD16" s="79"/>
    </row>
    <row r="17" spans="1:30" x14ac:dyDescent="0.2">
      <c r="B17" s="109"/>
      <c r="D17" s="110"/>
      <c r="E17" s="111"/>
      <c r="F17" s="111"/>
      <c r="G17" s="111"/>
      <c r="H17" s="111"/>
      <c r="I17" s="111"/>
      <c r="J17" s="112"/>
      <c r="L17" s="110"/>
      <c r="M17" s="111"/>
      <c r="N17" s="111"/>
      <c r="O17" s="111"/>
      <c r="P17" s="111"/>
      <c r="Q17" s="111"/>
      <c r="R17" s="112"/>
      <c r="T17" s="110"/>
      <c r="U17" s="111"/>
      <c r="V17" s="111"/>
      <c r="W17" s="111"/>
      <c r="X17" s="111"/>
      <c r="Y17" s="111"/>
      <c r="Z17" s="112"/>
      <c r="AB17" s="110"/>
      <c r="AC17" s="111"/>
      <c r="AD17" s="112"/>
    </row>
    <row r="18" spans="1:30" ht="14.85" customHeight="1" x14ac:dyDescent="0.2">
      <c r="A18" s="271" t="s">
        <v>56</v>
      </c>
      <c r="B18" s="271"/>
    </row>
    <row r="19" spans="1:30" ht="14.85" customHeight="1" x14ac:dyDescent="0.2">
      <c r="A19" s="271"/>
      <c r="B19" s="271"/>
      <c r="D19" s="272" t="s">
        <v>57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</row>
    <row r="20" spans="1:30" x14ac:dyDescent="0.2">
      <c r="A20" s="273" t="str">
        <f>IF(ISTEXT(E3),E3,"")</f>
        <v>2015-2016</v>
      </c>
      <c r="B20" s="273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</row>
    <row r="21" spans="1:30" x14ac:dyDescent="0.2">
      <c r="A21" s="273" t="str">
        <f>M3</f>
        <v>2016-2017</v>
      </c>
      <c r="B21" s="273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</row>
    <row r="22" spans="1:30" x14ac:dyDescent="0.2">
      <c r="A22" s="274" t="str">
        <f>U3</f>
        <v>2017-2018</v>
      </c>
      <c r="B22" s="274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</row>
    <row r="23" spans="1:30" x14ac:dyDescent="0.2"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</row>
    <row r="24" spans="1:30" x14ac:dyDescent="0.2">
      <c r="A24" s="275" t="s">
        <v>58</v>
      </c>
      <c r="B24" s="275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</row>
    <row r="25" spans="1:30" x14ac:dyDescent="0.2">
      <c r="A25" s="113" t="s">
        <v>59</v>
      </c>
      <c r="B25" s="114">
        <f>DATE(YEAR($B$5),11,11)</f>
        <v>42685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</row>
    <row r="26" spans="1:30" x14ac:dyDescent="0.2">
      <c r="A26" s="113" t="s">
        <v>60</v>
      </c>
      <c r="B26" s="114">
        <f>B33+39</f>
        <v>42880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</row>
    <row r="27" spans="1:30" x14ac:dyDescent="0.2">
      <c r="A27" s="113" t="s">
        <v>61</v>
      </c>
      <c r="B27" s="114">
        <f>EB33+40</f>
        <v>40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</row>
    <row r="28" spans="1:30" x14ac:dyDescent="0.2">
      <c r="A28" s="113" t="s">
        <v>62</v>
      </c>
      <c r="B28" s="114">
        <f>DATE(YEAR($B$5+150),8,15)</f>
        <v>42962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</row>
    <row r="29" spans="1:30" x14ac:dyDescent="0.2">
      <c r="A29" s="113" t="s">
        <v>63</v>
      </c>
      <c r="B29" s="114">
        <f>DATE(YEAR($B$5+150),5,1)</f>
        <v>42856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</row>
    <row r="30" spans="1:30" x14ac:dyDescent="0.2">
      <c r="A30" s="113" t="s">
        <v>64</v>
      </c>
      <c r="B30" s="114">
        <f>DATE(YEAR($B$5+150),7,14)</f>
        <v>42930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</row>
    <row r="31" spans="1:30" x14ac:dyDescent="0.2">
      <c r="A31" s="113" t="s">
        <v>65</v>
      </c>
      <c r="B31" s="114">
        <f>DATE(YEAR($B$5+150),1,1)</f>
        <v>42736</v>
      </c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</row>
    <row r="32" spans="1:30" x14ac:dyDescent="0.2">
      <c r="A32" s="113" t="s">
        <v>66</v>
      </c>
      <c r="B32" s="114">
        <f>DATE(YEAR($B$5),12,25)</f>
        <v>42729</v>
      </c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</row>
    <row r="33" spans="1:30" x14ac:dyDescent="0.2">
      <c r="A33" s="113" t="s">
        <v>67</v>
      </c>
      <c r="B33" s="117">
        <f>ROUND(DATE(YEAR($B$5+150),4,MOD(234-11*MOD(YEAR($B$5+150),19),30))/7,0)*7-6</f>
        <v>42841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</row>
    <row r="34" spans="1:30" x14ac:dyDescent="0.2">
      <c r="A34" s="113" t="s">
        <v>68</v>
      </c>
      <c r="B34" s="114">
        <f>B33+1</f>
        <v>42842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</row>
    <row r="35" spans="1:30" x14ac:dyDescent="0.2">
      <c r="A35" s="113" t="s">
        <v>69</v>
      </c>
      <c r="B35" s="114">
        <f>B33+49</f>
        <v>42890</v>
      </c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</row>
    <row r="36" spans="1:30" x14ac:dyDescent="0.2">
      <c r="A36" s="113" t="s">
        <v>70</v>
      </c>
      <c r="B36" s="114">
        <f>B33+50</f>
        <v>42891</v>
      </c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</row>
    <row r="37" spans="1:30" ht="14.85" customHeight="1" x14ac:dyDescent="0.2">
      <c r="A37" s="113" t="s">
        <v>71</v>
      </c>
      <c r="B37" s="114">
        <f>DATE(YEAR($B$5),11,1)</f>
        <v>42675</v>
      </c>
      <c r="D37" s="267" t="s">
        <v>76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</row>
    <row r="38" spans="1:30" x14ac:dyDescent="0.2">
      <c r="A38" s="115" t="s">
        <v>72</v>
      </c>
      <c r="B38" s="116">
        <f>DATE(YEAR($B$5+150),5,8)</f>
        <v>42863</v>
      </c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</row>
    <row r="40" spans="1:30" ht="14.85" customHeight="1" x14ac:dyDescent="0.2">
      <c r="A40" s="268" t="s">
        <v>73</v>
      </c>
      <c r="B40" s="268"/>
      <c r="D40" s="270" t="s">
        <v>74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</row>
    <row r="41" spans="1:30" x14ac:dyDescent="0.2">
      <c r="A41" s="269"/>
      <c r="B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</row>
    <row r="42" spans="1:30" x14ac:dyDescent="0.2">
      <c r="A42" s="269"/>
      <c r="B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</row>
    <row r="43" spans="1:30" x14ac:dyDescent="0.2">
      <c r="A43" s="269"/>
      <c r="B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</row>
    <row r="44" spans="1:30" x14ac:dyDescent="0.2">
      <c r="A44" s="269"/>
      <c r="B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</row>
    <row r="47" spans="1:30" x14ac:dyDescent="0.2">
      <c r="B47" s="117"/>
    </row>
    <row r="48" spans="1:30" x14ac:dyDescent="0.2">
      <c r="B48" s="97" t="s">
        <v>75</v>
      </c>
    </row>
  </sheetData>
  <sheetProtection password="DBDB" sheet="1" objects="1" scenarios="1" selectLockedCells="1"/>
  <mergeCells count="36">
    <mergeCell ref="D37:AD38"/>
    <mergeCell ref="A40:B44"/>
    <mergeCell ref="D40:AD44"/>
    <mergeCell ref="A18:B19"/>
    <mergeCell ref="D19:AD36"/>
    <mergeCell ref="A20:B20"/>
    <mergeCell ref="A21:B21"/>
    <mergeCell ref="A22:B22"/>
    <mergeCell ref="A24:B24"/>
    <mergeCell ref="E7:I7"/>
    <mergeCell ref="M7:Q7"/>
    <mergeCell ref="U7:Y7"/>
    <mergeCell ref="AC7:AC16"/>
    <mergeCell ref="E8:I8"/>
    <mergeCell ref="M8:Q8"/>
    <mergeCell ref="U8:Y8"/>
    <mergeCell ref="E9:I9"/>
    <mergeCell ref="M9:Q9"/>
    <mergeCell ref="U9:Y9"/>
    <mergeCell ref="E10:I10"/>
    <mergeCell ref="M10:Q10"/>
    <mergeCell ref="U10:Y10"/>
    <mergeCell ref="E16:I16"/>
    <mergeCell ref="M16:Q16"/>
    <mergeCell ref="U16:Y16"/>
    <mergeCell ref="E5:I5"/>
    <mergeCell ref="M5:Q5"/>
    <mergeCell ref="U5:Y5"/>
    <mergeCell ref="E6:I6"/>
    <mergeCell ref="M6:Q6"/>
    <mergeCell ref="U6:Y6"/>
    <mergeCell ref="D1:Z2"/>
    <mergeCell ref="E3:I3"/>
    <mergeCell ref="M3:Q3"/>
    <mergeCell ref="U3:Y3"/>
    <mergeCell ref="A4:B4"/>
  </mergeCells>
  <dataValidations count="13">
    <dataValidation operator="equal" allowBlank="1" showErrorMessage="1" sqref="A1 E5">
      <formula1>0</formula1>
      <formula2>0</formula2>
    </dataValidation>
    <dataValidation operator="equal" allowBlank="1" showInputMessage="1" showErrorMessage="1" promptTitle="Zone académique" prompt="La zone affichée ici dépend du choix fait par l'utilisateur sur le premier onglet._x000a_Ne pas modifier cette valeur dans cette feuille-ci !" sqref="B1">
      <formula1>0</formula1>
      <formula2>0</formula2>
    </dataValidation>
    <dataValidation operator="equal" allowBlank="1" showInputMessage="1" showErrorMessage="1" promptTitle="Année scolaire" prompt="L'année scolaire affichée ici dépend du choix fait par l'utilisateur dans le premier onglet._x000a_Ne pas modifier cette valeur dans cette feuille-ci !" sqref="B2">
      <formula1>0</formula1>
      <formula2>0</formula2>
    </dataValidation>
    <dataValidation operator="equal" allowBlank="1" showInputMessage="1" showErrorMessage="1" promptTitle="Saisie des congés" prompt="Saisir les dates &quot;officielles&quot; des débuts et fins de périodes de vacances._x000a_Attention : bien mettre le &quot;samedi&quot; comme début des périodes..._x000a__x000a_Pont de l'ascension :_x000a_Si le vendredi de l'ascension est vaqué, il faut l'indiquer..." sqref="A4">
      <formula1>0</formula1>
      <formula2>0</formula2>
    </dataValidation>
    <dataValidation type="list" operator="equal" showErrorMessage="1" sqref="E15">
      <formula1>"vaqué,non vaqué"</formula1>
      <formula2>0</formula2>
    </dataValidation>
    <dataValidation type="list" operator="equal" showErrorMessage="1" sqref="G15">
      <formula1>"vaqué,non vaqué"</formula1>
      <formula2>0</formula2>
    </dataValidation>
    <dataValidation type="list" operator="equal" showErrorMessage="1" sqref="I15">
      <formula1>"vaqué,non vaqué"</formula1>
      <formula2>0</formula2>
    </dataValidation>
    <dataValidation type="list" operator="equal" showErrorMessage="1" sqref="M15">
      <formula1>"vaqué,non vaqué"</formula1>
      <formula2>0</formula2>
    </dataValidation>
    <dataValidation type="list" operator="equal" showErrorMessage="1" sqref="O15">
      <formula1>"vaqué,non vaqué"</formula1>
      <formula2>0</formula2>
    </dataValidation>
    <dataValidation type="list" operator="equal" showErrorMessage="1" sqref="Q15">
      <formula1>"vaqué,non vaqué"</formula1>
      <formula2>0</formula2>
    </dataValidation>
    <dataValidation type="list" operator="equal" showErrorMessage="1" sqref="U15">
      <formula1>"vaqué,non vaqué"</formula1>
      <formula2>0</formula2>
    </dataValidation>
    <dataValidation type="list" operator="equal" showErrorMessage="1" sqref="W15">
      <formula1>" vaqué,non vaqué"</formula1>
      <formula2>0</formula2>
    </dataValidation>
    <dataValidation type="list" operator="equal" showErrorMessage="1" sqref="Y15">
      <formula1>"vaqué,non vaqué"</formula1>
      <formula2>0</formula2>
    </dataValidation>
  </dataValidations>
  <hyperlinks>
    <hyperlink ref="AC3" r:id="rId1"/>
  </hyperlinks>
  <printOptions horizontalCentered="1"/>
  <pageMargins left="0.39374999999999999" right="0.39374999999999999" top="0.63124999999999998" bottom="0.39374999999999999" header="0.39374999999999999" footer="0.51180555555555496"/>
  <pageSetup paperSize="9" firstPageNumber="0" orientation="portrait" horizontalDpi="4294967292" verticalDpi="4294967292"/>
  <headerFooter>
    <oddHeader>&amp;C&amp;A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Période 1</vt:lpstr>
      <vt:lpstr>Période 2</vt:lpstr>
      <vt:lpstr>Période 3</vt:lpstr>
      <vt:lpstr>Période 4</vt:lpstr>
      <vt:lpstr>Période 5</vt:lpstr>
      <vt:lpstr>Gestion</vt:lpstr>
      <vt:lpstr>AnnéeChoisie</vt:lpstr>
      <vt:lpstr>'Période 1'!Excel_BuiltIn_Print_Area</vt:lpstr>
      <vt:lpstr>'Période 1'!Zone_d_impression</vt:lpstr>
      <vt:lpstr>'Période 2'!Zone_d_impression</vt:lpstr>
      <vt:lpstr>'Période 3'!Zone_d_impression</vt:lpstr>
      <vt:lpstr>'Période 4'!Zone_d_impression</vt:lpstr>
      <vt:lpstr>'Période 5'!Zone_d_impression</vt:lpstr>
      <vt:lpstr>ZoneChoisie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Mamin</dc:creator>
  <cp:lastModifiedBy>SNUIPP56</cp:lastModifiedBy>
  <cp:revision>17</cp:revision>
  <cp:lastPrinted>2015-09-02T12:27:50Z</cp:lastPrinted>
  <dcterms:created xsi:type="dcterms:W3CDTF">2015-08-05T12:03:55Z</dcterms:created>
  <dcterms:modified xsi:type="dcterms:W3CDTF">2016-09-06T14:30:44Z</dcterms:modified>
  <dc:language>fr-FR</dc:language>
</cp:coreProperties>
</file>